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trizio.lamon\Desktop\"/>
    </mc:Choice>
  </mc:AlternateContent>
  <xr:revisionPtr revIDLastSave="0" documentId="8_{6CDFB4EE-D2FE-4FE9-9D6E-FA06FC5236B2}" xr6:coauthVersionLast="47" xr6:coauthVersionMax="47" xr10:uidLastSave="{00000000-0000-0000-0000-000000000000}"/>
  <workbookProtection workbookAlgorithmName="SHA-512" workbookHashValue="hWFgpAAsljIg6FslIiynZyruNVLzTxwn1mf+MJBnDWWr7RVVuav6wNOjlJxGZX96zTfEnPSUYiVld24vWZQoaw==" workbookSaltValue="O+6H27mUVlsqsHkHlj2A2g==" workbookSpinCount="100000" lockStructure="1"/>
  <bookViews>
    <workbookView xWindow="8800" yWindow="6400" windowWidth="16790" windowHeight="10490" tabRatio="792" xr2:uid="{00000000-000D-0000-FFFF-FFFF00000000}"/>
  </bookViews>
  <sheets>
    <sheet name="Menu" sheetId="14" r:id="rId1"/>
    <sheet name="180° Single" sheetId="1" r:id="rId2"/>
    <sheet name="90° Single" sheetId="6" r:id="rId3"/>
    <sheet name="180° Double" sheetId="7" r:id="rId4"/>
    <sheet name="90° Double" sheetId="2" r:id="rId5"/>
    <sheet name="180° Single opening 3 leavs" sheetId="3" r:id="rId6"/>
    <sheet name="180° Double opening 3 leavs" sheetId="4" r:id="rId7"/>
  </sheets>
  <definedNames>
    <definedName name="_xlnm.Print_Area" localSheetId="3">'180° Double'!$A$1:$K$22</definedName>
    <definedName name="_xlnm.Print_Area" localSheetId="6">'180° Double opening 3 leavs'!$A$1:$L$46</definedName>
    <definedName name="_xlnm.Print_Area" localSheetId="1">'180° Single'!$A$1:$K$22</definedName>
    <definedName name="_xlnm.Print_Area" localSheetId="5">'180° Single opening 3 leavs'!$A$1:$L$46</definedName>
    <definedName name="_xlnm.Print_Area" localSheetId="4">'90° Double'!$A$1:$K$22</definedName>
    <definedName name="_xlnm.Print_Area" localSheetId="2">'90° Single'!$A$1:$K$22</definedName>
    <definedName name="_xlnm.Print_Area" localSheetId="0">Menu!$A$1:$K$37</definedName>
    <definedName name="_xlnm.Print_Titles" localSheetId="6">'180° Double opening 3 leavs'!$1:$4</definedName>
    <definedName name="_xlnm.Print_Titles" localSheetId="5">'180° Single opening 3 leavs'!$1:$4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4" l="1"/>
  <c r="C19" i="4"/>
  <c r="I3" i="3"/>
  <c r="C28" i="3"/>
  <c r="I3" i="1"/>
  <c r="C20" i="4"/>
  <c r="I3" i="2"/>
  <c r="I3" i="7"/>
  <c r="I3" i="6"/>
  <c r="C10" i="6"/>
  <c r="C36" i="4"/>
  <c r="K36" i="4"/>
  <c r="C35" i="4"/>
  <c r="C34" i="4"/>
  <c r="C33" i="4"/>
  <c r="C32" i="4"/>
  <c r="C28" i="4"/>
  <c r="C27" i="4"/>
  <c r="C26" i="4"/>
  <c r="C25" i="4"/>
  <c r="C24" i="4"/>
  <c r="C18" i="4"/>
  <c r="C17" i="4"/>
  <c r="C16" i="4"/>
  <c r="E16" i="4"/>
  <c r="C36" i="3"/>
  <c r="H36" i="3"/>
  <c r="C35" i="3"/>
  <c r="J35" i="3"/>
  <c r="C34" i="3"/>
  <c r="C33" i="3"/>
  <c r="J33" i="3"/>
  <c r="C32" i="3"/>
  <c r="F32" i="3"/>
  <c r="C27" i="3"/>
  <c r="H27" i="3"/>
  <c r="C26" i="3"/>
  <c r="J26" i="3"/>
  <c r="C25" i="3"/>
  <c r="J25" i="3"/>
  <c r="C24" i="3"/>
  <c r="C20" i="3"/>
  <c r="C19" i="3"/>
  <c r="H19" i="3"/>
  <c r="C18" i="3"/>
  <c r="H18" i="3"/>
  <c r="C17" i="3"/>
  <c r="J17" i="3"/>
  <c r="C16" i="3"/>
  <c r="C12" i="7"/>
  <c r="C11" i="7"/>
  <c r="C10" i="7"/>
  <c r="C9" i="7"/>
  <c r="C8" i="7"/>
  <c r="C12" i="6"/>
  <c r="C11" i="6"/>
  <c r="C9" i="6"/>
  <c r="C8" i="6"/>
  <c r="C12" i="1"/>
  <c r="C11" i="1"/>
  <c r="C10" i="1"/>
  <c r="C9" i="1"/>
  <c r="C8" i="1"/>
  <c r="J17" i="4"/>
  <c r="J33" i="4"/>
  <c r="H34" i="4"/>
  <c r="J26" i="4"/>
  <c r="J25" i="4"/>
  <c r="H28" i="4"/>
  <c r="F35" i="4"/>
  <c r="F32" i="4"/>
  <c r="D33" i="4"/>
  <c r="J34" i="4"/>
  <c r="H35" i="4"/>
  <c r="F36" i="4"/>
  <c r="H32" i="4"/>
  <c r="F33" i="4"/>
  <c r="D34" i="4"/>
  <c r="E34" i="4"/>
  <c r="G34" i="4"/>
  <c r="I34" i="4"/>
  <c r="J35" i="4"/>
  <c r="H36" i="4"/>
  <c r="J32" i="4"/>
  <c r="H33" i="4"/>
  <c r="F34" i="4"/>
  <c r="D35" i="4"/>
  <c r="E35" i="4"/>
  <c r="J36" i="4"/>
  <c r="D32" i="4"/>
  <c r="E32" i="4"/>
  <c r="G32" i="4"/>
  <c r="D36" i="4"/>
  <c r="E36" i="4"/>
  <c r="J27" i="4"/>
  <c r="H27" i="4"/>
  <c r="H26" i="4"/>
  <c r="H24" i="4"/>
  <c r="D26" i="4"/>
  <c r="F26" i="4"/>
  <c r="G26" i="4"/>
  <c r="J24" i="4"/>
  <c r="H25" i="4"/>
  <c r="D27" i="4"/>
  <c r="J28" i="4"/>
  <c r="D25" i="4"/>
  <c r="F25" i="4"/>
  <c r="G25" i="4"/>
  <c r="D24" i="4"/>
  <c r="F24" i="4"/>
  <c r="G24" i="4"/>
  <c r="D28" i="4"/>
  <c r="F28" i="4"/>
  <c r="G28" i="4"/>
  <c r="H18" i="4"/>
  <c r="H16" i="4"/>
  <c r="D18" i="4"/>
  <c r="F18" i="4"/>
  <c r="G18" i="4"/>
  <c r="I18" i="4"/>
  <c r="J18" i="4"/>
  <c r="L18" i="4"/>
  <c r="E18" i="4"/>
  <c r="J16" i="4"/>
  <c r="L16" i="4"/>
  <c r="H17" i="4"/>
  <c r="D17" i="4"/>
  <c r="F17" i="4"/>
  <c r="G17" i="4"/>
  <c r="I17" i="4"/>
  <c r="L17" i="4"/>
  <c r="E17" i="4"/>
  <c r="D16" i="4"/>
  <c r="H32" i="3"/>
  <c r="J18" i="3"/>
  <c r="F35" i="3"/>
  <c r="H35" i="3"/>
  <c r="F36" i="3"/>
  <c r="H34" i="3"/>
  <c r="J32" i="3"/>
  <c r="H33" i="3"/>
  <c r="F34" i="3"/>
  <c r="D35" i="3"/>
  <c r="E35" i="3"/>
  <c r="G35" i="3"/>
  <c r="J36" i="3"/>
  <c r="D34" i="3"/>
  <c r="E34" i="3"/>
  <c r="D33" i="3"/>
  <c r="E33" i="3"/>
  <c r="G33" i="3"/>
  <c r="I33" i="3"/>
  <c r="J34" i="3"/>
  <c r="F33" i="3"/>
  <c r="D32" i="3"/>
  <c r="D36" i="3"/>
  <c r="H28" i="3"/>
  <c r="H26" i="3"/>
  <c r="H24" i="3"/>
  <c r="J27" i="3"/>
  <c r="D25" i="3"/>
  <c r="E25" i="3"/>
  <c r="J24" i="3"/>
  <c r="H25" i="3"/>
  <c r="D27" i="3"/>
  <c r="F27" i="3"/>
  <c r="G27" i="3"/>
  <c r="J28" i="3"/>
  <c r="D26" i="3"/>
  <c r="F26" i="3"/>
  <c r="G26" i="3"/>
  <c r="D24" i="3"/>
  <c r="F24" i="3"/>
  <c r="G24" i="3"/>
  <c r="D28" i="3"/>
  <c r="F28" i="3"/>
  <c r="G28" i="3"/>
  <c r="I28" i="3"/>
  <c r="E20" i="3"/>
  <c r="E16" i="3"/>
  <c r="H16" i="3"/>
  <c r="D18" i="3"/>
  <c r="J19" i="3"/>
  <c r="H20" i="3"/>
  <c r="E17" i="3"/>
  <c r="E18" i="3"/>
  <c r="J16" i="3"/>
  <c r="H17" i="3"/>
  <c r="D19" i="3"/>
  <c r="F19" i="3"/>
  <c r="G19" i="3"/>
  <c r="I19" i="3"/>
  <c r="J20" i="3"/>
  <c r="E19" i="3"/>
  <c r="D17" i="3"/>
  <c r="D16" i="3"/>
  <c r="F16" i="3"/>
  <c r="G16" i="3"/>
  <c r="D20" i="3"/>
  <c r="F20" i="3"/>
  <c r="G20" i="3"/>
  <c r="H12" i="7"/>
  <c r="I11" i="7"/>
  <c r="K17" i="4"/>
  <c r="K34" i="4"/>
  <c r="K18" i="4"/>
  <c r="K35" i="4"/>
  <c r="E25" i="4"/>
  <c r="K25" i="4"/>
  <c r="G36" i="4"/>
  <c r="G35" i="4"/>
  <c r="L28" i="4"/>
  <c r="I28" i="4"/>
  <c r="F27" i="4"/>
  <c r="G27" i="4"/>
  <c r="E27" i="4"/>
  <c r="K27" i="4"/>
  <c r="E28" i="4"/>
  <c r="K28" i="4"/>
  <c r="L32" i="4"/>
  <c r="I32" i="4"/>
  <c r="K32" i="4"/>
  <c r="F16" i="4"/>
  <c r="G16" i="4"/>
  <c r="I16" i="4"/>
  <c r="L34" i="4"/>
  <c r="E33" i="4"/>
  <c r="G33" i="4"/>
  <c r="L26" i="4"/>
  <c r="I26" i="4"/>
  <c r="E26" i="4"/>
  <c r="K26" i="4"/>
  <c r="I25" i="4"/>
  <c r="L25" i="4"/>
  <c r="L24" i="4"/>
  <c r="I24" i="4"/>
  <c r="E24" i="4"/>
  <c r="K24" i="4"/>
  <c r="K16" i="3"/>
  <c r="I16" i="3"/>
  <c r="L16" i="3"/>
  <c r="E32" i="3"/>
  <c r="G32" i="3"/>
  <c r="E24" i="3"/>
  <c r="K24" i="3"/>
  <c r="K33" i="3"/>
  <c r="I24" i="3"/>
  <c r="L24" i="3"/>
  <c r="L33" i="3"/>
  <c r="F25" i="3"/>
  <c r="G25" i="3"/>
  <c r="I25" i="3"/>
  <c r="K34" i="3"/>
  <c r="G34" i="3"/>
  <c r="F17" i="3"/>
  <c r="G17" i="3"/>
  <c r="L19" i="3"/>
  <c r="E26" i="3"/>
  <c r="K26" i="3"/>
  <c r="E28" i="3"/>
  <c r="K28" i="3"/>
  <c r="E27" i="3"/>
  <c r="K27" i="3"/>
  <c r="E36" i="3"/>
  <c r="G36" i="3"/>
  <c r="I36" i="3"/>
  <c r="I35" i="3"/>
  <c r="L35" i="3"/>
  <c r="K35" i="3"/>
  <c r="L28" i="3"/>
  <c r="I27" i="3"/>
  <c r="L27" i="3"/>
  <c r="L26" i="3"/>
  <c r="I26" i="3"/>
  <c r="L20" i="3"/>
  <c r="I20" i="3"/>
  <c r="K20" i="3"/>
  <c r="K19" i="3"/>
  <c r="F18" i="3"/>
  <c r="G18" i="3"/>
  <c r="I12" i="7"/>
  <c r="G8" i="7"/>
  <c r="I8" i="7"/>
  <c r="H9" i="7"/>
  <c r="H8" i="7"/>
  <c r="I9" i="7"/>
  <c r="D8" i="7"/>
  <c r="D9" i="7"/>
  <c r="E8" i="7"/>
  <c r="E9" i="7"/>
  <c r="D10" i="7"/>
  <c r="E10" i="7"/>
  <c r="F10" i="7"/>
  <c r="K10" i="7"/>
  <c r="G9" i="7"/>
  <c r="E11" i="7"/>
  <c r="D12" i="7"/>
  <c r="G10" i="7"/>
  <c r="E12" i="7"/>
  <c r="D11" i="7"/>
  <c r="F11" i="7"/>
  <c r="K11" i="7"/>
  <c r="H10" i="7"/>
  <c r="G11" i="7"/>
  <c r="I10" i="7"/>
  <c r="H11" i="7"/>
  <c r="G12" i="7"/>
  <c r="K33" i="4"/>
  <c r="F9" i="7"/>
  <c r="K9" i="7"/>
  <c r="J10" i="7"/>
  <c r="J9" i="7"/>
  <c r="F12" i="7"/>
  <c r="K12" i="7"/>
  <c r="L36" i="4"/>
  <c r="I36" i="4"/>
  <c r="I27" i="4"/>
  <c r="L27" i="4"/>
  <c r="I35" i="4"/>
  <c r="L35" i="4"/>
  <c r="K16" i="4"/>
  <c r="L33" i="4"/>
  <c r="I33" i="4"/>
  <c r="L32" i="3"/>
  <c r="I32" i="3"/>
  <c r="K32" i="3"/>
  <c r="K25" i="3"/>
  <c r="L25" i="3"/>
  <c r="I17" i="3"/>
  <c r="L17" i="3"/>
  <c r="I34" i="3"/>
  <c r="L34" i="3"/>
  <c r="K17" i="3"/>
  <c r="L36" i="3"/>
  <c r="K18" i="3"/>
  <c r="K36" i="3"/>
  <c r="I18" i="3"/>
  <c r="L18" i="3"/>
  <c r="J12" i="7"/>
  <c r="J11" i="7"/>
  <c r="J8" i="7"/>
  <c r="F8" i="7"/>
  <c r="K8" i="7"/>
  <c r="D9" i="6"/>
  <c r="E9" i="6"/>
  <c r="D8" i="6"/>
  <c r="D10" i="6"/>
  <c r="E8" i="6"/>
  <c r="E10" i="6"/>
  <c r="G8" i="6"/>
  <c r="D11" i="6"/>
  <c r="H8" i="6"/>
  <c r="G9" i="6"/>
  <c r="E11" i="6"/>
  <c r="D12" i="6"/>
  <c r="I8" i="6"/>
  <c r="H9" i="6"/>
  <c r="G10" i="6"/>
  <c r="E12" i="6"/>
  <c r="F12" i="6"/>
  <c r="K12" i="6"/>
  <c r="I9" i="6"/>
  <c r="H10" i="6"/>
  <c r="G11" i="6"/>
  <c r="I10" i="6"/>
  <c r="H11" i="6"/>
  <c r="G12" i="6"/>
  <c r="I11" i="6"/>
  <c r="H12" i="6"/>
  <c r="I12" i="6"/>
  <c r="J11" i="6"/>
  <c r="J12" i="6"/>
  <c r="F11" i="6"/>
  <c r="K11" i="6"/>
  <c r="J8" i="6"/>
  <c r="F8" i="6"/>
  <c r="K8" i="6"/>
  <c r="J9" i="6"/>
  <c r="J10" i="6"/>
  <c r="F10" i="6"/>
  <c r="K10" i="6"/>
  <c r="F9" i="6"/>
  <c r="K9" i="6"/>
  <c r="C12" i="4"/>
  <c r="K12" i="4"/>
  <c r="C11" i="4"/>
  <c r="K11" i="4"/>
  <c r="C9" i="4"/>
  <c r="K9" i="4"/>
  <c r="C8" i="4"/>
  <c r="C10" i="4"/>
  <c r="K10" i="4"/>
  <c r="J12" i="4"/>
  <c r="L12" i="4"/>
  <c r="J11" i="4"/>
  <c r="L11" i="4"/>
  <c r="J10" i="4"/>
  <c r="L10" i="4"/>
  <c r="J9" i="4"/>
  <c r="L9" i="4"/>
  <c r="H8" i="4"/>
  <c r="J8" i="4"/>
  <c r="L8" i="4"/>
  <c r="H10" i="4"/>
  <c r="H9" i="4"/>
  <c r="H11" i="4"/>
  <c r="H12" i="4"/>
  <c r="G10" i="4"/>
  <c r="G11" i="4"/>
  <c r="G12" i="4"/>
  <c r="G8" i="4"/>
  <c r="G9" i="4"/>
  <c r="D8" i="4"/>
  <c r="D11" i="4"/>
  <c r="E11" i="4"/>
  <c r="F11" i="4"/>
  <c r="D9" i="4"/>
  <c r="D10" i="4"/>
  <c r="E10" i="4"/>
  <c r="F10" i="4"/>
  <c r="D12" i="4"/>
  <c r="E12" i="4"/>
  <c r="F12" i="4"/>
  <c r="I8" i="4"/>
  <c r="I9" i="4"/>
  <c r="I10" i="4"/>
  <c r="I11" i="4"/>
  <c r="I12" i="4"/>
  <c r="E9" i="4"/>
  <c r="F9" i="4"/>
  <c r="F8" i="4"/>
  <c r="E8" i="4"/>
  <c r="J19" i="4"/>
  <c r="L19" i="4"/>
  <c r="D19" i="4"/>
  <c r="F19" i="4"/>
  <c r="G19" i="4"/>
  <c r="I19" i="4"/>
  <c r="H19" i="4"/>
  <c r="E19" i="4"/>
  <c r="E20" i="4"/>
  <c r="J20" i="4"/>
  <c r="L20" i="4"/>
  <c r="H20" i="4"/>
  <c r="D20" i="4"/>
  <c r="F20" i="4"/>
  <c r="G20" i="4"/>
  <c r="I20" i="4"/>
  <c r="K8" i="4"/>
  <c r="C12" i="3"/>
  <c r="G12" i="3"/>
  <c r="C11" i="3"/>
  <c r="G11" i="3"/>
  <c r="C10" i="3"/>
  <c r="G10" i="3"/>
  <c r="C9" i="3"/>
  <c r="G9" i="3"/>
  <c r="C8" i="3"/>
  <c r="G8" i="3"/>
  <c r="K19" i="4"/>
  <c r="K20" i="4"/>
  <c r="H8" i="3"/>
  <c r="H10" i="3"/>
  <c r="H9" i="3"/>
  <c r="H12" i="3"/>
  <c r="H11" i="3"/>
  <c r="J10" i="3"/>
  <c r="L10" i="3"/>
  <c r="J9" i="3"/>
  <c r="L9" i="3"/>
  <c r="J8" i="3"/>
  <c r="L8" i="3"/>
  <c r="J11" i="3"/>
  <c r="L11" i="3"/>
  <c r="J12" i="3"/>
  <c r="L12" i="3"/>
  <c r="G11" i="1"/>
  <c r="E10" i="1"/>
  <c r="G12" i="1"/>
  <c r="I9" i="1"/>
  <c r="D9" i="1"/>
  <c r="E8" i="1"/>
  <c r="D8" i="1"/>
  <c r="D9" i="3"/>
  <c r="F9" i="3"/>
  <c r="I12" i="3"/>
  <c r="I9" i="3"/>
  <c r="E9" i="1"/>
  <c r="H11" i="1"/>
  <c r="I11" i="1"/>
  <c r="D10" i="1"/>
  <c r="D11" i="1"/>
  <c r="G10" i="1"/>
  <c r="I10" i="1"/>
  <c r="H9" i="1"/>
  <c r="H10" i="1"/>
  <c r="I12" i="1"/>
  <c r="H12" i="1"/>
  <c r="I10" i="3"/>
  <c r="I11" i="3"/>
  <c r="D10" i="3"/>
  <c r="G8" i="1"/>
  <c r="H8" i="1"/>
  <c r="E12" i="1"/>
  <c r="G9" i="1"/>
  <c r="E11" i="1"/>
  <c r="I8" i="1"/>
  <c r="D12" i="1"/>
  <c r="D8" i="3"/>
  <c r="E8" i="3"/>
  <c r="I8" i="3"/>
  <c r="D11" i="3"/>
  <c r="F11" i="3"/>
  <c r="D12" i="3"/>
  <c r="E12" i="3"/>
  <c r="F12" i="3"/>
  <c r="K12" i="3"/>
  <c r="E11" i="3"/>
  <c r="K11" i="3"/>
  <c r="E10" i="3"/>
  <c r="F10" i="3"/>
  <c r="F8" i="3"/>
  <c r="J12" i="1"/>
  <c r="F12" i="1"/>
  <c r="K12" i="1"/>
  <c r="J10" i="1"/>
  <c r="F9" i="1"/>
  <c r="K9" i="1"/>
  <c r="F8" i="1"/>
  <c r="K8" i="1"/>
  <c r="J8" i="1"/>
  <c r="E9" i="3"/>
  <c r="J9" i="1"/>
  <c r="F10" i="1"/>
  <c r="K10" i="1"/>
  <c r="F11" i="1"/>
  <c r="K11" i="1"/>
  <c r="J11" i="1"/>
  <c r="K9" i="3"/>
  <c r="K10" i="3"/>
  <c r="K8" i="3"/>
  <c r="C9" i="2"/>
  <c r="H9" i="2"/>
  <c r="C12" i="2"/>
  <c r="C8" i="2"/>
  <c r="G8" i="2"/>
  <c r="C11" i="2"/>
  <c r="C10" i="2"/>
  <c r="I10" i="2"/>
  <c r="G9" i="2"/>
  <c r="F11" i="2"/>
  <c r="K11" i="2"/>
  <c r="I8" i="2"/>
  <c r="D10" i="2"/>
  <c r="E11" i="2"/>
  <c r="E8" i="2"/>
  <c r="H8" i="2"/>
  <c r="D11" i="2"/>
  <c r="J11" i="2"/>
  <c r="D8" i="2"/>
  <c r="D12" i="2"/>
  <c r="H10" i="2"/>
  <c r="I11" i="2"/>
  <c r="I12" i="2"/>
  <c r="E9" i="2"/>
  <c r="E12" i="2"/>
  <c r="J12" i="2"/>
  <c r="D9" i="2"/>
  <c r="E10" i="2"/>
  <c r="F10" i="2"/>
  <c r="K10" i="2"/>
  <c r="G10" i="2"/>
  <c r="H11" i="2"/>
  <c r="G11" i="2"/>
  <c r="H12" i="2"/>
  <c r="G12" i="2"/>
  <c r="I9" i="2"/>
  <c r="F9" i="2"/>
  <c r="K9" i="2"/>
  <c r="F12" i="2"/>
  <c r="K12" i="2"/>
  <c r="J9" i="2"/>
  <c r="J8" i="2"/>
  <c r="J10" i="2"/>
  <c r="F8" i="2"/>
  <c r="K8" i="2"/>
</calcChain>
</file>

<file path=xl/sharedStrings.xml><?xml version="1.0" encoding="utf-8"?>
<sst xmlns="http://schemas.openxmlformats.org/spreadsheetml/2006/main" count="362" uniqueCount="92">
  <si>
    <t>INOX</t>
  </si>
  <si>
    <t>802F60DX
802F60SX</t>
  </si>
  <si>
    <t>822F60DX
822F60SX</t>
  </si>
  <si>
    <t>802F70DX
802F70SX</t>
  </si>
  <si>
    <t>822F70DX
822F70SX</t>
  </si>
  <si>
    <t>802A80DX
802A80SX</t>
  </si>
  <si>
    <t>802B90DX
802B90SX</t>
  </si>
  <si>
    <t>802B100DX
802B100SX</t>
  </si>
  <si>
    <t>822A80DX
822A80SX</t>
  </si>
  <si>
    <t>822B90DX
822B90SX</t>
  </si>
  <si>
    <t>822B100DX
822B100SX</t>
  </si>
  <si>
    <t>902F60DX
902F60SX</t>
  </si>
  <si>
    <t>902F70DX
902F70SX</t>
  </si>
  <si>
    <t>902A80DX
902A80SX</t>
  </si>
  <si>
    <t>902B90DX
902B90SX</t>
  </si>
  <si>
    <t>902B100DX
902B100SX</t>
  </si>
  <si>
    <t>922F60DX
922F60SX</t>
  </si>
  <si>
    <t>922F70DX
922F70SX</t>
  </si>
  <si>
    <t>922A80DX
922A80SX</t>
  </si>
  <si>
    <t>922B90DX
922B90SX</t>
  </si>
  <si>
    <t>922B100DX
922B100SX</t>
  </si>
  <si>
    <t>LA = LAC+LAM+1</t>
  </si>
  <si>
    <t>LAM - LAC</t>
  </si>
  <si>
    <t>3° anta - LAC</t>
  </si>
  <si>
    <r>
      <rPr>
        <b/>
        <sz val="11"/>
        <color theme="0" tint="-0.499984740745262"/>
        <rFont val="Calibri"/>
        <family val="2"/>
        <scheme val="minor"/>
      </rPr>
      <t>CELEGON Srl</t>
    </r>
    <r>
      <rPr>
        <sz val="11"/>
        <color theme="0" tint="-0.499984740745262"/>
        <rFont val="Calibri"/>
        <family val="2"/>
        <scheme val="minor"/>
      </rPr>
      <t xml:space="preserve"> | Via G. Galilei, 6 - Z.I. | 30035 Mirano (Ve) | T +39 041 572 8404 | F +39 041 572 8522 | info@celegon.it | P.IVA 01892090273 | © copyright 2021 </t>
    </r>
  </si>
  <si>
    <t>Min 650 mm</t>
  </si>
  <si>
    <t>Max 1300 mm</t>
  </si>
  <si>
    <t>Max 1100 mm</t>
  </si>
  <si>
    <t>Min 1220 mm</t>
  </si>
  <si>
    <t>Max 2120 mm</t>
  </si>
  <si>
    <t>Max 2520 mm</t>
  </si>
  <si>
    <t>Min 1730 mm</t>
  </si>
  <si>
    <t>Max 4113 mm</t>
  </si>
  <si>
    <t>Compack Living 180° ad apertura doppia</t>
  </si>
  <si>
    <t>Min 1010 mm</t>
  </si>
  <si>
    <t>Min 600 mm</t>
  </si>
  <si>
    <t>Min 1120 mm</t>
  </si>
  <si>
    <t>Calculator of dimensions' development</t>
  </si>
  <si>
    <t>Compack Living 180° single opening</t>
  </si>
  <si>
    <r>
      <t>INPUT LFM</t>
    </r>
    <r>
      <rPr>
        <sz val="14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(Wall opening width)</t>
    </r>
  </si>
  <si>
    <t>COMPACK LIVING 180° SINGLE OPENING</t>
  </si>
  <si>
    <t>BLACK</t>
  </si>
  <si>
    <t>Hinge leaf
"LAC"</t>
  </si>
  <si>
    <t>Handle leaf
"LAM"</t>
  </si>
  <si>
    <t>Quote "Z"
Encumbrance in
opening</t>
  </si>
  <si>
    <t>Outer Jamb "ES"</t>
  </si>
  <si>
    <t>Passage Dimension "LP"</t>
  </si>
  <si>
    <t>Article code</t>
  </si>
  <si>
    <t>DOOR EXAMPLE LEFT OPENING (SX) -TO PULL</t>
  </si>
  <si>
    <t>specified dimensions are approximate</t>
  </si>
  <si>
    <t>3 simmetrical leaves</t>
  </si>
  <si>
    <r>
      <t>1</t>
    </r>
    <r>
      <rPr>
        <vertAlign val="superscript"/>
        <sz val="8"/>
        <color theme="0" tint="-0.499984740745262"/>
        <rFont val="Calibri"/>
        <family val="2"/>
        <scheme val="minor"/>
      </rPr>
      <t>st</t>
    </r>
    <r>
      <rPr>
        <sz val="8"/>
        <color theme="0" tint="-0.499984740745262"/>
        <rFont val="Calibri"/>
        <family val="2"/>
        <scheme val="minor"/>
      </rPr>
      <t xml:space="preserve"> and 2</t>
    </r>
    <r>
      <rPr>
        <vertAlign val="superscript"/>
        <sz val="8"/>
        <color theme="0" tint="-0.499984740745262"/>
        <rFont val="Calibri"/>
        <family val="2"/>
        <scheme val="minor"/>
      </rPr>
      <t>nd</t>
    </r>
    <r>
      <rPr>
        <sz val="8"/>
        <color theme="0" tint="-0.499984740745262"/>
        <rFont val="Calibri"/>
        <family val="2"/>
        <scheme val="minor"/>
      </rPr>
      <t xml:space="preserve"> simmetrical leaves</t>
    </r>
  </si>
  <si>
    <r>
      <t>1</t>
    </r>
    <r>
      <rPr>
        <vertAlign val="superscript"/>
        <sz val="8"/>
        <color theme="0" tint="-0.499984740745262"/>
        <rFont val="Calibri"/>
        <family val="2"/>
        <scheme val="minor"/>
      </rPr>
      <t>st</t>
    </r>
    <r>
      <rPr>
        <sz val="8"/>
        <color theme="0" tint="-0.499984740745262"/>
        <rFont val="Calibri"/>
        <family val="2"/>
        <scheme val="minor"/>
      </rPr>
      <t xml:space="preserve"> and 3</t>
    </r>
    <r>
      <rPr>
        <vertAlign val="superscript"/>
        <sz val="8"/>
        <color theme="0" tint="-0.499984740745262"/>
        <rFont val="Calibri"/>
        <family val="2"/>
        <scheme val="minor"/>
      </rPr>
      <t>rd</t>
    </r>
    <r>
      <rPr>
        <sz val="8"/>
        <color theme="0" tint="-0.499984740745262"/>
        <rFont val="Calibri"/>
        <family val="2"/>
        <scheme val="minor"/>
      </rPr>
      <t xml:space="preserve"> simmetrical leaves</t>
    </r>
  </si>
  <si>
    <r>
      <t>2</t>
    </r>
    <r>
      <rPr>
        <vertAlign val="superscript"/>
        <sz val="8"/>
        <color theme="0" tint="-0.499984740745262"/>
        <rFont val="Calibri"/>
        <family val="2"/>
        <scheme val="minor"/>
      </rPr>
      <t xml:space="preserve">nd </t>
    </r>
    <r>
      <rPr>
        <sz val="8"/>
        <color theme="0" tint="-0.499984740745262"/>
        <rFont val="Calibri"/>
        <family val="2"/>
        <scheme val="minor"/>
      </rPr>
      <t>e 3</t>
    </r>
    <r>
      <rPr>
        <vertAlign val="superscript"/>
        <sz val="8"/>
        <color theme="0" tint="-0.499984740745262"/>
        <rFont val="Calibri"/>
        <family val="2"/>
        <scheme val="minor"/>
      </rPr>
      <t>rd</t>
    </r>
    <r>
      <rPr>
        <sz val="8"/>
        <color theme="0" tint="-0.499984740745262"/>
        <rFont val="Calibri"/>
        <family val="2"/>
        <scheme val="minor"/>
      </rPr>
      <t xml:space="preserve"> simmetrical leaves</t>
    </r>
  </si>
  <si>
    <t>Single opening 3 leaves</t>
  </si>
  <si>
    <t>Double opening</t>
  </si>
  <si>
    <t>Double opening 3 leaves</t>
  </si>
  <si>
    <t>Single opening</t>
  </si>
  <si>
    <t>Main menu</t>
  </si>
  <si>
    <t>CELEGON’S patented Hardware systems allows to reduce 
the volume of the doors, increase available spaces 
without masonry works and without added costs</t>
  </si>
  <si>
    <t xml:space="preserve">  &lt;&lt; Return to main menu</t>
  </si>
  <si>
    <t>Kit Group</t>
  </si>
  <si>
    <t>COMPACK LIVING 90° SINGLE OPENING</t>
  </si>
  <si>
    <t>Compack Living 90° single opening</t>
  </si>
  <si>
    <t>Passage Dimension "LPD"</t>
  </si>
  <si>
    <t>Compack Living 180° double opening</t>
  </si>
  <si>
    <t>COMPACK LIVING 180° DOUBLE OPENING</t>
  </si>
  <si>
    <r>
      <t xml:space="preserve">COMPACK LIVING 180° DOUBLE OPENING WITH </t>
    </r>
    <r>
      <rPr>
        <b/>
        <u/>
        <sz val="14"/>
        <color theme="0"/>
        <rFont val="Calibri"/>
        <family val="2"/>
        <scheme val="minor"/>
      </rPr>
      <t xml:space="preserve"> 1ST AND 3RD SIMMETRIC LEAVES</t>
    </r>
  </si>
  <si>
    <t>COMPACK LIVING 180°  DOUBLE OPENING WITH  2ND AND 3RD SIMMETRIC LEAVES</t>
  </si>
  <si>
    <t>COMPACK LIVING 180° DOUBLE OPENING WITH  1ST AND 2ND SIMMETRIC LEAVES</t>
  </si>
  <si>
    <t>COMPACK LIVING 180° DOUBLE OPENING WITH 3 SIMMETRIC LEAVES</t>
  </si>
  <si>
    <t xml:space="preserve">  &lt;&lt;Return to main menu</t>
  </si>
  <si>
    <t xml:space="preserve">OPTIONAL: Push@go to manage secondary leaf release </t>
  </si>
  <si>
    <t>DOOR EXAMPLE WITH DOUBLE OPENING  OBTAINABLE WITH A COUPLE OF HARDWARE KIT RIGHT AND LEFT (DX + SX)</t>
  </si>
  <si>
    <t>Compack Living 90° double opening</t>
  </si>
  <si>
    <t>COMPACK LIVING 90° DOUBLE OPENING</t>
  </si>
  <si>
    <t xml:space="preserve">OPTIONAL: Push@go  to manage secondary leaf release </t>
  </si>
  <si>
    <t>Hinge leaf
"LAC" (1st leaf)</t>
  </si>
  <si>
    <t>3rd leaf</t>
  </si>
  <si>
    <t>Handle leaf
"LAM" (2nd leaf)</t>
  </si>
  <si>
    <t>LA = LAC+LAM+
3 rd leaf+2</t>
  </si>
  <si>
    <t>Passage Dimension"LPD"</t>
  </si>
  <si>
    <t>Quote "V"
Encumbrance on
the wall</t>
  </si>
  <si>
    <t>Handle leaf
"LAM" (2 nd leaf)</t>
  </si>
  <si>
    <t>3rd leaf - LAC</t>
  </si>
  <si>
    <t>Passage Dimension"LP"</t>
  </si>
  <si>
    <t>LA = LAC+LAM+
3rd leaf+2</t>
  </si>
  <si>
    <t>COMPACK LIVING 180° SINGLE OPENING WITH 2ND AND 3RD SIMMETRIC LEAVES</t>
  </si>
  <si>
    <t>COMPACK LIVING 180° SINGLE OPENING WITH 1ST AND 3RD SIMMETRIC LEAVES</t>
  </si>
  <si>
    <t>COMPACK LIVING 180°SINGLE OPENING WITH 3 SIMMETRIC LEAVES</t>
  </si>
  <si>
    <t>COMPACK LIVING 180° SINGLE OPENING WITH 1ST AND 2ND SIMMETRIC LEAVES</t>
  </si>
  <si>
    <t>Max 2101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</si>
</sst>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3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9D9D9D"/>
      <name val="Calibri"/>
      <family val="2"/>
      <scheme val="minor"/>
    </font>
    <font>
      <sz val="11"/>
      <color rgb="FF9D9D9D"/>
      <name val="PT Sans"/>
      <family val="2"/>
    </font>
    <font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color rgb="FFF28C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color rgb="FFF28C00"/>
      <name val="Segoe UI"/>
      <family val="2"/>
    </font>
    <font>
      <vertAlign val="superscript"/>
      <sz val="8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C3D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8C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3" fillId="3" borderId="0" xfId="0" applyNumberFormat="1" applyFont="1" applyFill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4" fillId="3" borderId="0" xfId="3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17" fillId="4" borderId="0" xfId="0" applyFont="1" applyFill="1"/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" fontId="10" fillId="5" borderId="20" xfId="0" applyNumberFormat="1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19" fillId="6" borderId="9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4" borderId="3" xfId="0" applyFont="1" applyFill="1" applyBorder="1" applyAlignment="1" applyProtection="1">
      <alignment horizontal="center" vertical="center" wrapText="1"/>
      <protection locked="0"/>
    </xf>
    <xf numFmtId="0" fontId="21" fillId="4" borderId="5" xfId="0" applyFont="1" applyFill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left" inden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2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164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164" fontId="1" fillId="4" borderId="12" xfId="0" applyNumberFormat="1" applyFont="1" applyFill="1" applyBorder="1" applyAlignment="1" applyProtection="1">
      <alignment horizontal="center" vertical="center"/>
    </xf>
    <xf numFmtId="1" fontId="1" fillId="4" borderId="12" xfId="0" applyNumberFormat="1" applyFont="1" applyFill="1" applyBorder="1" applyAlignment="1" applyProtection="1">
      <alignment horizontal="center" vertical="center"/>
    </xf>
    <xf numFmtId="1" fontId="1" fillId="4" borderId="4" xfId="0" applyNumberFormat="1" applyFont="1" applyFill="1" applyBorder="1" applyAlignment="1" applyProtection="1">
      <alignment horizontal="center" vertical="center"/>
    </xf>
    <xf numFmtId="1" fontId="1" fillId="4" borderId="5" xfId="0" applyNumberFormat="1" applyFont="1" applyFill="1" applyBorder="1" applyAlignment="1" applyProtection="1">
      <alignment horizontal="center" vertical="center"/>
    </xf>
    <xf numFmtId="1" fontId="1" fillId="0" borderId="26" xfId="0" applyNumberFormat="1" applyFont="1" applyBorder="1" applyAlignment="1" applyProtection="1">
      <alignment horizontal="center" vertical="center"/>
    </xf>
    <xf numFmtId="1" fontId="1" fillId="0" borderId="27" xfId="0" applyNumberFormat="1" applyFont="1" applyBorder="1" applyAlignment="1" applyProtection="1">
      <alignment horizontal="center" vertical="center"/>
    </xf>
    <xf numFmtId="1" fontId="1" fillId="0" borderId="28" xfId="0" applyNumberFormat="1" applyFont="1" applyBorder="1" applyAlignment="1" applyProtection="1">
      <alignment horizontal="center" vertical="center"/>
    </xf>
    <xf numFmtId="1" fontId="10" fillId="5" borderId="2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164" fontId="1" fillId="0" borderId="24" xfId="0" applyNumberFormat="1" applyFont="1" applyBorder="1" applyAlignment="1" applyProtection="1">
      <alignment horizontal="center" vertical="center"/>
    </xf>
    <xf numFmtId="1" fontId="1" fillId="0" borderId="24" xfId="0" applyNumberFormat="1" applyFont="1" applyBorder="1" applyAlignment="1" applyProtection="1">
      <alignment horizontal="center" vertical="center"/>
    </xf>
    <xf numFmtId="1" fontId="1" fillId="0" borderId="23" xfId="0" applyNumberFormat="1" applyFont="1" applyBorder="1" applyAlignment="1" applyProtection="1">
      <alignment horizontal="center" vertical="center"/>
    </xf>
    <xf numFmtId="1" fontId="1" fillId="0" borderId="25" xfId="0" applyNumberFormat="1" applyFont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left" vertical="center" indent="1"/>
      <protection locked="0"/>
    </xf>
    <xf numFmtId="164" fontId="1" fillId="3" borderId="0" xfId="0" applyNumberFormat="1" applyFont="1" applyFill="1" applyBorder="1" applyAlignment="1" applyProtection="1">
      <alignment horizontal="center"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12" fillId="3" borderId="17" xfId="3" applyFont="1" applyFill="1" applyBorder="1" applyAlignment="1" applyProtection="1">
      <alignment horizontal="left" vertical="center" wrapText="1"/>
      <protection locked="0"/>
    </xf>
    <xf numFmtId="0" fontId="12" fillId="3" borderId="18" xfId="3" applyFont="1" applyFill="1" applyBorder="1" applyAlignment="1" applyProtection="1">
      <alignment horizontal="left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</cellXfs>
  <cellStyles count="4">
    <cellStyle name="Collegamento ipertestuale" xfId="1" builtinId="8" hidden="1"/>
    <cellStyle name="Collegamento ipertestuale" xfId="3" builtinId="8"/>
    <cellStyle name="Collegamento ipertestuale visitato" xfId="2" builtinId="9" hidden="1"/>
    <cellStyle name="Normale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8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7.png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png"/><Relationship Id="rId1" Type="http://schemas.openxmlformats.org/officeDocument/2006/relationships/image" Target="../media/image2.jp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7.png"/><Relationship Id="rId1" Type="http://schemas.openxmlformats.org/officeDocument/2006/relationships/image" Target="../media/image6.jp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3.jp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4.jpg"/><Relationship Id="rId1" Type="http://schemas.openxmlformats.org/officeDocument/2006/relationships/image" Target="../media/image7.png"/><Relationship Id="rId4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10</xdr:row>
      <xdr:rowOff>0</xdr:rowOff>
    </xdr:from>
    <xdr:ext cx="1417987" cy="1080000"/>
    <xdr:pic>
      <xdr:nvPicPr>
        <xdr:cNvPr id="2" name="Immagine 1">
          <a:extLst>
            <a:ext uri="{FF2B5EF4-FFF2-40B4-BE49-F238E27FC236}">
              <a16:creationId xmlns:a16="http://schemas.microsoft.com/office/drawing/2014/main" id="{93B5D0DE-0242-40A0-AD30-BEC47907E9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827"/>
        <a:stretch/>
      </xdr:blipFill>
      <xdr:spPr>
        <a:xfrm>
          <a:off x="1276351" y="1905000"/>
          <a:ext cx="1417987" cy="1080000"/>
        </a:xfrm>
        <a:prstGeom prst="rect">
          <a:avLst/>
        </a:prstGeom>
      </xdr:spPr>
    </xdr:pic>
    <xdr:clientData/>
  </xdr:oneCellAnchor>
  <xdr:oneCellAnchor>
    <xdr:from>
      <xdr:col>2</xdr:col>
      <xdr:colOff>119063</xdr:colOff>
      <xdr:row>16</xdr:row>
      <xdr:rowOff>23812</xdr:rowOff>
    </xdr:from>
    <xdr:ext cx="2236065" cy="1160860"/>
    <xdr:pic>
      <xdr:nvPicPr>
        <xdr:cNvPr id="3" name="Immagine 2">
          <a:extLst>
            <a:ext uri="{FF2B5EF4-FFF2-40B4-BE49-F238E27FC236}">
              <a16:creationId xmlns:a16="http://schemas.microsoft.com/office/drawing/2014/main" id="{5D315E05-577A-416A-AD8D-74F3F4082D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7635"/>
        <a:stretch/>
      </xdr:blipFill>
      <xdr:spPr>
        <a:xfrm>
          <a:off x="1300163" y="3071812"/>
          <a:ext cx="2236065" cy="1160860"/>
        </a:xfrm>
        <a:prstGeom prst="rect">
          <a:avLst/>
        </a:prstGeom>
      </xdr:spPr>
    </xdr:pic>
    <xdr:clientData/>
  </xdr:oneCellAnchor>
  <xdr:oneCellAnchor>
    <xdr:from>
      <xdr:col>2</xdr:col>
      <xdr:colOff>151710</xdr:colOff>
      <xdr:row>22</xdr:row>
      <xdr:rowOff>46089</xdr:rowOff>
    </xdr:from>
    <xdr:ext cx="1729838" cy="1060040"/>
    <xdr:pic>
      <xdr:nvPicPr>
        <xdr:cNvPr id="4" name="Immagine 3">
          <a:extLst>
            <a:ext uri="{FF2B5EF4-FFF2-40B4-BE49-F238E27FC236}">
              <a16:creationId xmlns:a16="http://schemas.microsoft.com/office/drawing/2014/main" id="{86A5594A-7F3E-41BF-83F5-3D9DF8EFB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0519"/>
        <a:stretch/>
      </xdr:blipFill>
      <xdr:spPr>
        <a:xfrm>
          <a:off x="1332810" y="4237089"/>
          <a:ext cx="1729838" cy="1060040"/>
        </a:xfrm>
        <a:prstGeom prst="rect">
          <a:avLst/>
        </a:prstGeom>
      </xdr:spPr>
    </xdr:pic>
    <xdr:clientData/>
  </xdr:oneCellAnchor>
  <xdr:oneCellAnchor>
    <xdr:from>
      <xdr:col>2</xdr:col>
      <xdr:colOff>162076</xdr:colOff>
      <xdr:row>28</xdr:row>
      <xdr:rowOff>184547</xdr:rowOff>
    </xdr:from>
    <xdr:ext cx="3001616" cy="1119188"/>
    <xdr:pic>
      <xdr:nvPicPr>
        <xdr:cNvPr id="5" name="Immagine 4">
          <a:extLst>
            <a:ext uri="{FF2B5EF4-FFF2-40B4-BE49-F238E27FC236}">
              <a16:creationId xmlns:a16="http://schemas.microsoft.com/office/drawing/2014/main" id="{C5E2845C-EB70-4218-A702-2FEBC753D6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9320" t="9114"/>
        <a:stretch/>
      </xdr:blipFill>
      <xdr:spPr>
        <a:xfrm>
          <a:off x="1343176" y="5518547"/>
          <a:ext cx="3001616" cy="1119188"/>
        </a:xfrm>
        <a:prstGeom prst="rect">
          <a:avLst/>
        </a:prstGeom>
      </xdr:spPr>
    </xdr:pic>
    <xdr:clientData/>
  </xdr:oneCellAnchor>
  <xdr:oneCellAnchor>
    <xdr:from>
      <xdr:col>7</xdr:col>
      <xdr:colOff>95251</xdr:colOff>
      <xdr:row>10</xdr:row>
      <xdr:rowOff>0</xdr:rowOff>
    </xdr:from>
    <xdr:ext cx="1377553" cy="1049182"/>
    <xdr:pic>
      <xdr:nvPicPr>
        <xdr:cNvPr id="6" name="Immagine 5">
          <a:extLst>
            <a:ext uri="{FF2B5EF4-FFF2-40B4-BE49-F238E27FC236}">
              <a16:creationId xmlns:a16="http://schemas.microsoft.com/office/drawing/2014/main" id="{8310FADD-575A-4386-965A-391FEB3651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5291"/>
        <a:stretch/>
      </xdr:blipFill>
      <xdr:spPr>
        <a:xfrm>
          <a:off x="4229101" y="1905000"/>
          <a:ext cx="1377553" cy="1049182"/>
        </a:xfrm>
        <a:prstGeom prst="rect">
          <a:avLst/>
        </a:prstGeom>
      </xdr:spPr>
    </xdr:pic>
    <xdr:clientData/>
  </xdr:oneCellAnchor>
  <xdr:oneCellAnchor>
    <xdr:from>
      <xdr:col>7</xdr:col>
      <xdr:colOff>95251</xdr:colOff>
      <xdr:row>16</xdr:row>
      <xdr:rowOff>29766</xdr:rowOff>
    </xdr:from>
    <xdr:ext cx="2022872" cy="994288"/>
    <xdr:pic>
      <xdr:nvPicPr>
        <xdr:cNvPr id="7" name="Immagine 6">
          <a:extLst>
            <a:ext uri="{FF2B5EF4-FFF2-40B4-BE49-F238E27FC236}">
              <a16:creationId xmlns:a16="http://schemas.microsoft.com/office/drawing/2014/main" id="{7D8BCFA5-5300-416C-AA0E-591C2AA832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3472"/>
        <a:stretch/>
      </xdr:blipFill>
      <xdr:spPr>
        <a:xfrm>
          <a:off x="4229101" y="3077766"/>
          <a:ext cx="2022872" cy="994288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0</xdr:row>
      <xdr:rowOff>257175</xdr:rowOff>
    </xdr:from>
    <xdr:ext cx="2749534" cy="682811"/>
    <xdr:pic>
      <xdr:nvPicPr>
        <xdr:cNvPr id="8" name="Immagine 7">
          <a:extLst>
            <a:ext uri="{FF2B5EF4-FFF2-40B4-BE49-F238E27FC236}">
              <a16:creationId xmlns:a16="http://schemas.microsoft.com/office/drawing/2014/main" id="{2C67BBAA-A4CB-48FD-A7FB-E75F3794B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0025" y="190500"/>
          <a:ext cx="2749534" cy="68281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2430378" cy="720000"/>
    <xdr:pic>
      <xdr:nvPicPr>
        <xdr:cNvPr id="9" name="Immagine 8">
          <a:extLst>
            <a:ext uri="{FF2B5EF4-FFF2-40B4-BE49-F238E27FC236}">
              <a16:creationId xmlns:a16="http://schemas.microsoft.com/office/drawing/2014/main" id="{EE4C9CC4-A2A9-4468-926A-D8EABA5D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81100" y="1143000"/>
          <a:ext cx="2430378" cy="720000"/>
        </a:xfrm>
        <a:prstGeom prst="rect">
          <a:avLst/>
        </a:prstGeom>
      </xdr:spPr>
    </xdr:pic>
    <xdr:clientData/>
  </xdr:oneCellAnchor>
  <xdr:oneCellAnchor>
    <xdr:from>
      <xdr:col>7</xdr:col>
      <xdr:colOff>2</xdr:colOff>
      <xdr:row>6</xdr:row>
      <xdr:rowOff>0</xdr:rowOff>
    </xdr:from>
    <xdr:ext cx="2430380" cy="720000"/>
    <xdr:pic>
      <xdr:nvPicPr>
        <xdr:cNvPr id="10" name="Immagine 9">
          <a:extLst>
            <a:ext uri="{FF2B5EF4-FFF2-40B4-BE49-F238E27FC236}">
              <a16:creationId xmlns:a16="http://schemas.microsoft.com/office/drawing/2014/main" id="{AB42550F-9A9C-4805-B59D-B1F4CB05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33852" y="1143000"/>
          <a:ext cx="2430380" cy="720000"/>
        </a:xfrm>
        <a:prstGeom prst="rect">
          <a:avLst/>
        </a:prstGeom>
      </xdr:spPr>
    </xdr:pic>
    <xdr:clientData/>
  </xdr:oneCellAnchor>
  <xdr:oneCellAnchor>
    <xdr:from>
      <xdr:col>5</xdr:col>
      <xdr:colOff>674171</xdr:colOff>
      <xdr:row>26</xdr:row>
      <xdr:rowOff>160813</xdr:rowOff>
    </xdr:from>
    <xdr:ext cx="1033585" cy="810243"/>
    <xdr:pic>
      <xdr:nvPicPr>
        <xdr:cNvPr id="12" name="Immagine 11">
          <a:extLst>
            <a:ext uri="{FF2B5EF4-FFF2-40B4-BE49-F238E27FC236}">
              <a16:creationId xmlns:a16="http://schemas.microsoft.com/office/drawing/2014/main" id="{E62950E9-1F4B-4F6A-A564-0B3198B9F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41196" y="5113813"/>
          <a:ext cx="1033585" cy="8102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806450</xdr:colOff>
      <xdr:row>13</xdr:row>
      <xdr:rowOff>69850</xdr:rowOff>
    </xdr:from>
    <xdr:to>
      <xdr:col>10</xdr:col>
      <xdr:colOff>408658</xdr:colOff>
      <xdr:row>20</xdr:row>
      <xdr:rowOff>282850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1938A9-0D33-4F20-AEBA-5F6898AE2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3250" y="3829050"/>
          <a:ext cx="7901658" cy="28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B571B89E-9B42-414E-BBB2-599064B03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oneCellAnchor>
    <xdr:from>
      <xdr:col>0</xdr:col>
      <xdr:colOff>695324</xdr:colOff>
      <xdr:row>15</xdr:row>
      <xdr:rowOff>209550</xdr:rowOff>
    </xdr:from>
    <xdr:ext cx="2893669" cy="857250"/>
    <xdr:pic>
      <xdr:nvPicPr>
        <xdr:cNvPr id="5" name="Immagine 4">
          <a:extLst>
            <a:ext uri="{FF2B5EF4-FFF2-40B4-BE49-F238E27FC236}">
              <a16:creationId xmlns:a16="http://schemas.microsoft.com/office/drawing/2014/main" id="{99186543-3AB4-421D-8725-7914BDC9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4" y="5010150"/>
          <a:ext cx="2893669" cy="857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13</xdr:row>
      <xdr:rowOff>157506</xdr:rowOff>
    </xdr:from>
    <xdr:to>
      <xdr:col>10</xdr:col>
      <xdr:colOff>542925</xdr:colOff>
      <xdr:row>20</xdr:row>
      <xdr:rowOff>177651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0BC99FA-D00C-45A5-885C-E3F6BE002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4577106"/>
          <a:ext cx="7886700" cy="268714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1C222622-F662-4626-A1C6-FE48B5F95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oneCellAnchor>
    <xdr:from>
      <xdr:col>0</xdr:col>
      <xdr:colOff>695325</xdr:colOff>
      <xdr:row>15</xdr:row>
      <xdr:rowOff>209550</xdr:rowOff>
    </xdr:from>
    <xdr:ext cx="2892152" cy="856800"/>
    <xdr:pic>
      <xdr:nvPicPr>
        <xdr:cNvPr id="5" name="Immagine 4">
          <a:extLst>
            <a:ext uri="{FF2B5EF4-FFF2-40B4-BE49-F238E27FC236}">
              <a16:creationId xmlns:a16="http://schemas.microsoft.com/office/drawing/2014/main" id="{DED20E89-CBA5-4E22-8D22-9C11D36B0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5010150"/>
          <a:ext cx="2892152" cy="8568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219010</xdr:colOff>
      <xdr:row>13</xdr:row>
      <xdr:rowOff>314326</xdr:rowOff>
    </xdr:from>
    <xdr:to>
      <xdr:col>10</xdr:col>
      <xdr:colOff>1009650</xdr:colOff>
      <xdr:row>20</xdr:row>
      <xdr:rowOff>19050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7596F9A-8567-44D3-9324-0D3A19167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060" y="4352926"/>
          <a:ext cx="8724965" cy="237172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C7EE65E-42B1-4D9F-BE78-DEF2F12D1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oneCellAnchor>
    <xdr:from>
      <xdr:col>0</xdr:col>
      <xdr:colOff>695325</xdr:colOff>
      <xdr:row>15</xdr:row>
      <xdr:rowOff>209550</xdr:rowOff>
    </xdr:from>
    <xdr:ext cx="2893669" cy="857250"/>
    <xdr:pic>
      <xdr:nvPicPr>
        <xdr:cNvPr id="8" name="Immagine 7">
          <a:extLst>
            <a:ext uri="{FF2B5EF4-FFF2-40B4-BE49-F238E27FC236}">
              <a16:creationId xmlns:a16="http://schemas.microsoft.com/office/drawing/2014/main" id="{4E6F1575-B81F-467D-9742-F0F9CE7E2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5010150"/>
          <a:ext cx="2893669" cy="857250"/>
        </a:xfrm>
        <a:prstGeom prst="rect">
          <a:avLst/>
        </a:prstGeom>
      </xdr:spPr>
    </xdr:pic>
    <xdr:clientData/>
  </xdr:oneCellAnchor>
  <xdr:twoCellAnchor editAs="oneCell">
    <xdr:from>
      <xdr:col>3</xdr:col>
      <xdr:colOff>180975</xdr:colOff>
      <xdr:row>13</xdr:row>
      <xdr:rowOff>57151</xdr:rowOff>
    </xdr:from>
    <xdr:to>
      <xdr:col>4</xdr:col>
      <xdr:colOff>256944</xdr:colOff>
      <xdr:row>14</xdr:row>
      <xdr:rowOff>152401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ABF0E47-018A-4162-B24D-03AFA506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9025" y="4476751"/>
          <a:ext cx="1447569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14</xdr:row>
      <xdr:rowOff>111124</xdr:rowOff>
    </xdr:from>
    <xdr:to>
      <xdr:col>10</xdr:col>
      <xdr:colOff>998515</xdr:colOff>
      <xdr:row>19</xdr:row>
      <xdr:rowOff>201953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E312DAB-490E-4FDA-87C3-5BE161539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530724"/>
          <a:ext cx="8723290" cy="199582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1B554AA8-53BF-44C2-9B7D-876B6194D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oneCellAnchor>
    <xdr:from>
      <xdr:col>0</xdr:col>
      <xdr:colOff>695325</xdr:colOff>
      <xdr:row>15</xdr:row>
      <xdr:rowOff>209550</xdr:rowOff>
    </xdr:from>
    <xdr:ext cx="2892152" cy="856800"/>
    <xdr:pic>
      <xdr:nvPicPr>
        <xdr:cNvPr id="8" name="Immagine 7">
          <a:extLst>
            <a:ext uri="{FF2B5EF4-FFF2-40B4-BE49-F238E27FC236}">
              <a16:creationId xmlns:a16="http://schemas.microsoft.com/office/drawing/2014/main" id="{5B126280-5FB2-4245-9CED-852543231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5010150"/>
          <a:ext cx="2892152" cy="856800"/>
        </a:xfrm>
        <a:prstGeom prst="rect">
          <a:avLst/>
        </a:prstGeom>
      </xdr:spPr>
    </xdr:pic>
    <xdr:clientData/>
  </xdr:oneCellAnchor>
  <xdr:twoCellAnchor editAs="oneCell">
    <xdr:from>
      <xdr:col>3</xdr:col>
      <xdr:colOff>180975</xdr:colOff>
      <xdr:row>13</xdr:row>
      <xdr:rowOff>57151</xdr:rowOff>
    </xdr:from>
    <xdr:to>
      <xdr:col>4</xdr:col>
      <xdr:colOff>256944</xdr:colOff>
      <xdr:row>14</xdr:row>
      <xdr:rowOff>152401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EBBE556-74F7-4B1E-B0AE-C601D437B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9025" y="4476751"/>
          <a:ext cx="1447569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78BB16-C48D-4537-832A-74947361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twoCellAnchor editAs="oneCell">
    <xdr:from>
      <xdr:col>3</xdr:col>
      <xdr:colOff>444500</xdr:colOff>
      <xdr:row>37</xdr:row>
      <xdr:rowOff>222253</xdr:rowOff>
    </xdr:from>
    <xdr:to>
      <xdr:col>11</xdr:col>
      <xdr:colOff>28575</xdr:colOff>
      <xdr:row>44</xdr:row>
      <xdr:rowOff>32430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B79437AA-648D-425A-804A-78FD55C4C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2550" y="23148928"/>
          <a:ext cx="8556625" cy="2477177"/>
        </a:xfrm>
        <a:prstGeom prst="rect">
          <a:avLst/>
        </a:prstGeom>
      </xdr:spPr>
    </xdr:pic>
    <xdr:clientData/>
  </xdr:twoCellAnchor>
  <xdr:oneCellAnchor>
    <xdr:from>
      <xdr:col>0</xdr:col>
      <xdr:colOff>695325</xdr:colOff>
      <xdr:row>39</xdr:row>
      <xdr:rowOff>209550</xdr:rowOff>
    </xdr:from>
    <xdr:ext cx="2893669" cy="857250"/>
    <xdr:pic>
      <xdr:nvPicPr>
        <xdr:cNvPr id="40" name="Immagine 39">
          <a:extLst>
            <a:ext uri="{FF2B5EF4-FFF2-40B4-BE49-F238E27FC236}">
              <a16:creationId xmlns:a16="http://schemas.microsoft.com/office/drawing/2014/main" id="{CE1E3400-0E34-409F-8AA3-493B8639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5010150"/>
          <a:ext cx="2893669" cy="8572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257175</xdr:rowOff>
    </xdr:from>
    <xdr:to>
      <xdr:col>2</xdr:col>
      <xdr:colOff>873109</xdr:colOff>
      <xdr:row>2</xdr:row>
      <xdr:rowOff>235136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B1B496FF-ACF2-46BE-B989-D902A0199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57175"/>
          <a:ext cx="2749534" cy="682811"/>
        </a:xfrm>
        <a:prstGeom prst="rect">
          <a:avLst/>
        </a:prstGeom>
      </xdr:spPr>
    </xdr:pic>
    <xdr:clientData/>
  </xdr:twoCellAnchor>
  <xdr:twoCellAnchor editAs="oneCell">
    <xdr:from>
      <xdr:col>2</xdr:col>
      <xdr:colOff>1149351</xdr:colOff>
      <xdr:row>38</xdr:row>
      <xdr:rowOff>47220</xdr:rowOff>
    </xdr:from>
    <xdr:to>
      <xdr:col>11</xdr:col>
      <xdr:colOff>952846</xdr:colOff>
      <xdr:row>43</xdr:row>
      <xdr:rowOff>266371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F8855F1-2CE2-4957-8CF5-C1C8B02BEE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tretch/>
      </xdr:blipFill>
      <xdr:spPr>
        <a:xfrm>
          <a:off x="3225801" y="13039320"/>
          <a:ext cx="10147645" cy="2124151"/>
        </a:xfrm>
        <a:prstGeom prst="rect">
          <a:avLst/>
        </a:prstGeom>
      </xdr:spPr>
    </xdr:pic>
    <xdr:clientData/>
  </xdr:twoCellAnchor>
  <xdr:oneCellAnchor>
    <xdr:from>
      <xdr:col>0</xdr:col>
      <xdr:colOff>695325</xdr:colOff>
      <xdr:row>39</xdr:row>
      <xdr:rowOff>209550</xdr:rowOff>
    </xdr:from>
    <xdr:ext cx="2893669" cy="857250"/>
    <xdr:pic>
      <xdr:nvPicPr>
        <xdr:cNvPr id="10" name="Immagine 9">
          <a:extLst>
            <a:ext uri="{FF2B5EF4-FFF2-40B4-BE49-F238E27FC236}">
              <a16:creationId xmlns:a16="http://schemas.microsoft.com/office/drawing/2014/main" id="{FB8C16C3-217C-4457-8631-E60AF5EA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5010150"/>
          <a:ext cx="2893669" cy="857250"/>
        </a:xfrm>
        <a:prstGeom prst="rect">
          <a:avLst/>
        </a:prstGeom>
      </xdr:spPr>
    </xdr:pic>
    <xdr:clientData/>
  </xdr:oneCellAnchor>
  <xdr:twoCellAnchor editAs="oneCell">
    <xdr:from>
      <xdr:col>3</xdr:col>
      <xdr:colOff>180975</xdr:colOff>
      <xdr:row>37</xdr:row>
      <xdr:rowOff>57151</xdr:rowOff>
    </xdr:from>
    <xdr:to>
      <xdr:col>4</xdr:col>
      <xdr:colOff>256944</xdr:colOff>
      <xdr:row>38</xdr:row>
      <xdr:rowOff>152401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D568E4C-3EE3-47DC-A9E5-619EE0540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9025" y="4476751"/>
          <a:ext cx="144756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elegon.it/it/prodotti/push-g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elegon.it/it/prodotti/push-go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elegon.it/it/prodotti/push-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F904-6D2B-4550-B89B-9A86068FBCA5}">
  <dimension ref="A1:K37"/>
  <sheetViews>
    <sheetView tabSelected="1" showWhiteSpace="0" zoomScaleNormal="100" workbookViewId="0">
      <pane ySplit="5" topLeftCell="A6" activePane="bottomLeft" state="frozen"/>
      <selection pane="bottomLeft" activeCell="I3" sqref="I3"/>
    </sheetView>
  </sheetViews>
  <sheetFormatPr defaultColWidth="8.81640625" defaultRowHeight="14.5" x14ac:dyDescent="0.35"/>
  <cols>
    <col min="1" max="2" width="15.54296875" style="1" customWidth="1"/>
    <col min="3" max="5" width="20.54296875" style="1" customWidth="1"/>
    <col min="6" max="11" width="15.54296875" style="1" customWidth="1"/>
    <col min="12" max="12" width="8.81640625" style="1" customWidth="1"/>
    <col min="13" max="16384" width="8.81640625" style="1"/>
  </cols>
  <sheetData>
    <row r="1" spans="1:11" ht="25" customHeigh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0.75" customHeight="1" x14ac:dyDescent="0.35">
      <c r="A2" s="5"/>
      <c r="B2" s="6"/>
      <c r="C2" s="6"/>
      <c r="D2" s="44" t="s">
        <v>37</v>
      </c>
      <c r="E2" s="6"/>
      <c r="F2" s="6"/>
      <c r="G2" s="6"/>
      <c r="H2" s="6"/>
      <c r="I2" s="7" t="s">
        <v>39</v>
      </c>
      <c r="J2" s="8"/>
      <c r="K2" s="9"/>
    </row>
    <row r="3" spans="1:11" ht="22.5" customHeight="1" x14ac:dyDescent="0.35">
      <c r="A3" s="5"/>
      <c r="B3" s="10"/>
      <c r="C3" s="6"/>
      <c r="D3" s="11" t="s">
        <v>58</v>
      </c>
      <c r="E3" s="6"/>
      <c r="F3" s="6"/>
      <c r="G3" s="6"/>
      <c r="H3" s="12" t="s">
        <v>35</v>
      </c>
      <c r="I3" s="36"/>
      <c r="J3" s="13" t="s">
        <v>32</v>
      </c>
      <c r="K3" s="9"/>
    </row>
    <row r="4" spans="1:11" ht="15" customHeight="1" x14ac:dyDescent="0.35">
      <c r="A4" s="5"/>
      <c r="B4" s="6"/>
      <c r="C4" s="6"/>
      <c r="D4" s="6"/>
      <c r="E4" s="6"/>
      <c r="F4" s="6"/>
      <c r="G4" s="6"/>
      <c r="H4" s="6"/>
      <c r="I4" s="6"/>
      <c r="J4" s="6"/>
      <c r="K4" s="9"/>
    </row>
    <row r="5" spans="1:11" ht="5.25" customHeight="1" x14ac:dyDescent="0.35">
      <c r="A5" s="14"/>
      <c r="B5" s="15"/>
      <c r="C5" s="16"/>
      <c r="D5" s="17"/>
      <c r="E5" s="16"/>
      <c r="F5" s="14"/>
      <c r="G5" s="15"/>
      <c r="H5" s="15"/>
      <c r="I5" s="15"/>
      <c r="J5" s="15"/>
      <c r="K5" s="18"/>
    </row>
    <row r="6" spans="1:11" x14ac:dyDescent="0.35">
      <c r="A6" s="14"/>
      <c r="B6" s="15"/>
      <c r="C6" s="15"/>
      <c r="D6" s="15"/>
      <c r="E6" s="15"/>
      <c r="F6" s="14"/>
      <c r="G6" s="15"/>
      <c r="H6" s="15"/>
      <c r="I6" s="15"/>
      <c r="J6" s="15"/>
      <c r="K6" s="18"/>
    </row>
    <row r="7" spans="1:11" x14ac:dyDescent="0.35">
      <c r="A7" s="14"/>
      <c r="B7" s="15"/>
      <c r="C7" s="15"/>
      <c r="D7" s="15"/>
      <c r="E7" s="15"/>
      <c r="F7" s="14"/>
      <c r="G7" s="15"/>
      <c r="H7" s="15"/>
      <c r="I7" s="15"/>
      <c r="J7" s="15"/>
      <c r="K7" s="18"/>
    </row>
    <row r="8" spans="1:11" x14ac:dyDescent="0.35">
      <c r="A8" s="14"/>
      <c r="B8" s="15"/>
      <c r="C8" s="15"/>
      <c r="D8" s="15"/>
      <c r="E8" s="15"/>
      <c r="F8" s="14"/>
      <c r="G8" s="15"/>
      <c r="H8" s="15"/>
      <c r="I8" s="15"/>
      <c r="J8" s="19"/>
      <c r="K8" s="18"/>
    </row>
    <row r="9" spans="1:11" x14ac:dyDescent="0.35">
      <c r="A9" s="14"/>
      <c r="B9" s="15"/>
      <c r="C9" s="15"/>
      <c r="D9" s="15"/>
      <c r="E9" s="15"/>
      <c r="F9" s="14"/>
      <c r="G9" s="15"/>
      <c r="H9" s="15"/>
      <c r="I9" s="15"/>
      <c r="J9" s="19"/>
      <c r="K9" s="18"/>
    </row>
    <row r="10" spans="1:11" x14ac:dyDescent="0.35">
      <c r="A10" s="14"/>
      <c r="B10" s="15"/>
      <c r="C10" s="15"/>
      <c r="D10" s="15"/>
      <c r="E10" s="15"/>
      <c r="F10" s="14"/>
      <c r="G10" s="15"/>
      <c r="H10" s="15"/>
      <c r="I10" s="15"/>
      <c r="J10" s="15"/>
      <c r="K10" s="18"/>
    </row>
    <row r="11" spans="1:11" x14ac:dyDescent="0.35">
      <c r="A11" s="14"/>
      <c r="B11" s="15"/>
      <c r="C11" s="15"/>
      <c r="D11" s="15"/>
      <c r="E11" s="15"/>
      <c r="F11" s="14"/>
      <c r="G11" s="15"/>
      <c r="H11" s="15"/>
      <c r="I11" s="15"/>
      <c r="J11" s="15"/>
      <c r="K11" s="18"/>
    </row>
    <row r="12" spans="1:11" x14ac:dyDescent="0.35">
      <c r="A12" s="20"/>
      <c r="B12" s="20" t="s">
        <v>57</v>
      </c>
      <c r="C12" s="21"/>
      <c r="D12" s="21"/>
      <c r="E12" s="15"/>
      <c r="F12" s="131"/>
      <c r="G12" s="20" t="s">
        <v>57</v>
      </c>
      <c r="H12" s="15"/>
      <c r="I12" s="15"/>
      <c r="J12" s="15"/>
      <c r="K12" s="18"/>
    </row>
    <row r="13" spans="1:11" x14ac:dyDescent="0.35">
      <c r="A13" s="14"/>
      <c r="C13" s="21"/>
      <c r="D13" s="21"/>
      <c r="E13" s="15"/>
      <c r="F13" s="14"/>
      <c r="H13" s="15"/>
      <c r="I13" s="15"/>
      <c r="J13" s="15"/>
      <c r="K13" s="18"/>
    </row>
    <row r="14" spans="1:11" x14ac:dyDescent="0.35">
      <c r="A14" s="14"/>
      <c r="B14" s="22"/>
      <c r="C14" s="21"/>
      <c r="D14" s="21"/>
      <c r="E14" s="15"/>
      <c r="F14" s="14"/>
      <c r="G14" s="23"/>
      <c r="H14" s="15"/>
      <c r="I14" s="15"/>
      <c r="J14" s="15"/>
      <c r="K14" s="18"/>
    </row>
    <row r="15" spans="1:11" x14ac:dyDescent="0.35">
      <c r="A15" s="14"/>
      <c r="B15" s="22"/>
      <c r="C15" s="21"/>
      <c r="D15" s="21"/>
      <c r="E15" s="15"/>
      <c r="F15" s="14"/>
      <c r="G15" s="23"/>
      <c r="H15" s="15"/>
      <c r="I15" s="15"/>
      <c r="J15" s="15"/>
      <c r="K15" s="18"/>
    </row>
    <row r="16" spans="1:11" x14ac:dyDescent="0.35">
      <c r="A16" s="14"/>
      <c r="B16" s="22"/>
      <c r="C16" s="21"/>
      <c r="D16" s="21"/>
      <c r="E16" s="15"/>
      <c r="F16" s="14"/>
      <c r="G16" s="23"/>
      <c r="H16" s="15"/>
      <c r="I16" s="15"/>
      <c r="J16" s="15"/>
      <c r="K16" s="18"/>
    </row>
    <row r="17" spans="1:11" x14ac:dyDescent="0.35">
      <c r="A17" s="14"/>
      <c r="B17" s="24"/>
      <c r="C17" s="15"/>
      <c r="D17" s="15"/>
      <c r="E17" s="15"/>
      <c r="F17" s="14"/>
      <c r="G17" s="23"/>
      <c r="H17" s="15"/>
      <c r="I17" s="15"/>
      <c r="J17" s="15"/>
      <c r="K17" s="18"/>
    </row>
    <row r="18" spans="1:11" x14ac:dyDescent="0.35">
      <c r="A18" s="20"/>
      <c r="B18" s="20" t="s">
        <v>55</v>
      </c>
      <c r="C18" s="15"/>
      <c r="D18" s="15"/>
      <c r="E18" s="15"/>
      <c r="F18" s="131"/>
      <c r="G18" s="20" t="s">
        <v>55</v>
      </c>
      <c r="H18" s="15"/>
      <c r="I18" s="15"/>
      <c r="J18" s="15"/>
      <c r="K18" s="18"/>
    </row>
    <row r="19" spans="1:11" x14ac:dyDescent="0.35">
      <c r="A19" s="14"/>
      <c r="C19" s="15"/>
      <c r="D19" s="15"/>
      <c r="E19" s="15"/>
      <c r="F19" s="14"/>
      <c r="G19" s="20"/>
      <c r="H19" s="15"/>
      <c r="I19" s="15"/>
      <c r="J19" s="15"/>
      <c r="K19" s="18"/>
    </row>
    <row r="20" spans="1:11" x14ac:dyDescent="0.35">
      <c r="A20" s="14"/>
      <c r="B20" s="24"/>
      <c r="C20" s="15"/>
      <c r="D20" s="15"/>
      <c r="E20" s="15"/>
      <c r="F20" s="14"/>
      <c r="G20" s="15"/>
      <c r="H20" s="15"/>
      <c r="I20" s="15"/>
      <c r="J20" s="15"/>
      <c r="K20" s="18"/>
    </row>
    <row r="21" spans="1:11" x14ac:dyDescent="0.35">
      <c r="A21" s="14"/>
      <c r="B21" s="24"/>
      <c r="C21" s="15"/>
      <c r="D21" s="15"/>
      <c r="E21" s="15"/>
      <c r="F21" s="14"/>
      <c r="G21" s="15"/>
      <c r="H21" s="15"/>
      <c r="I21" s="15"/>
      <c r="J21" s="15"/>
      <c r="K21" s="18"/>
    </row>
    <row r="22" spans="1:11" x14ac:dyDescent="0.35">
      <c r="A22" s="14"/>
      <c r="B22" s="24"/>
      <c r="C22" s="15"/>
      <c r="D22" s="15"/>
      <c r="E22" s="15"/>
      <c r="F22" s="14"/>
      <c r="G22" s="15"/>
      <c r="H22" s="15"/>
      <c r="I22" s="15"/>
      <c r="J22" s="15"/>
      <c r="K22" s="18"/>
    </row>
    <row r="23" spans="1:11" x14ac:dyDescent="0.35">
      <c r="A23" s="14"/>
      <c r="B23" s="24"/>
      <c r="C23" s="15"/>
      <c r="D23" s="15"/>
      <c r="E23" s="15"/>
      <c r="F23" s="14"/>
      <c r="G23" s="15"/>
      <c r="H23" s="15"/>
      <c r="I23" s="15"/>
      <c r="J23" s="15"/>
      <c r="K23" s="18"/>
    </row>
    <row r="24" spans="1:11" x14ac:dyDescent="0.35">
      <c r="A24" s="20"/>
      <c r="B24" s="20" t="s">
        <v>54</v>
      </c>
      <c r="C24" s="15"/>
      <c r="D24" s="15"/>
      <c r="E24" s="15"/>
      <c r="F24" s="25"/>
      <c r="G24" s="26"/>
      <c r="H24" s="26"/>
      <c r="I24" s="26"/>
      <c r="J24" s="26"/>
      <c r="K24" s="27"/>
    </row>
    <row r="25" spans="1:11" x14ac:dyDescent="0.35">
      <c r="A25" s="14"/>
      <c r="B25" s="37" t="s">
        <v>50</v>
      </c>
      <c r="C25" s="15"/>
      <c r="D25" s="15"/>
      <c r="E25" s="15"/>
      <c r="F25" s="25"/>
      <c r="G25" s="26"/>
      <c r="H25" s="26"/>
      <c r="I25" s="26"/>
      <c r="J25" s="26"/>
      <c r="K25" s="27"/>
    </row>
    <row r="26" spans="1:11" x14ac:dyDescent="0.35">
      <c r="A26" s="14"/>
      <c r="B26" s="37" t="s">
        <v>51</v>
      </c>
      <c r="C26" s="15"/>
      <c r="D26" s="15"/>
      <c r="E26" s="15"/>
      <c r="F26" s="25"/>
      <c r="G26" s="26"/>
      <c r="H26" s="26"/>
      <c r="I26" s="26"/>
      <c r="J26" s="26"/>
      <c r="K26" s="27"/>
    </row>
    <row r="27" spans="1:11" x14ac:dyDescent="0.35">
      <c r="A27" s="14"/>
      <c r="B27" s="37" t="s">
        <v>53</v>
      </c>
      <c r="C27" s="15"/>
      <c r="D27" s="15"/>
      <c r="E27" s="15"/>
      <c r="F27" s="25"/>
      <c r="G27" s="26"/>
      <c r="H27" s="26"/>
      <c r="I27" s="26"/>
      <c r="J27" s="26"/>
      <c r="K27" s="27"/>
    </row>
    <row r="28" spans="1:11" x14ac:dyDescent="0.35">
      <c r="A28" s="14"/>
      <c r="B28" s="37" t="s">
        <v>52</v>
      </c>
      <c r="C28" s="15"/>
      <c r="D28" s="15"/>
      <c r="E28" s="15"/>
      <c r="F28" s="25"/>
      <c r="G28" s="26"/>
      <c r="H28" s="133" t="s">
        <v>59</v>
      </c>
      <c r="I28" s="134"/>
      <c r="J28" s="134"/>
      <c r="K28" s="135"/>
    </row>
    <row r="29" spans="1:11" x14ac:dyDescent="0.35">
      <c r="A29" s="14"/>
      <c r="B29" s="28"/>
      <c r="C29" s="15"/>
      <c r="D29" s="15"/>
      <c r="E29" s="15"/>
      <c r="F29" s="25"/>
      <c r="G29" s="26"/>
      <c r="H29" s="134"/>
      <c r="I29" s="134"/>
      <c r="J29" s="134"/>
      <c r="K29" s="135"/>
    </row>
    <row r="30" spans="1:11" x14ac:dyDescent="0.35">
      <c r="A30" s="14"/>
      <c r="B30" s="24"/>
      <c r="C30" s="15"/>
      <c r="D30" s="15"/>
      <c r="E30" s="15"/>
      <c r="F30" s="25"/>
      <c r="G30" s="26"/>
      <c r="H30" s="134"/>
      <c r="I30" s="134"/>
      <c r="J30" s="134"/>
      <c r="K30" s="135"/>
    </row>
    <row r="31" spans="1:11" x14ac:dyDescent="0.35">
      <c r="A31" s="20"/>
      <c r="B31" s="20" t="s">
        <v>56</v>
      </c>
      <c r="C31" s="15"/>
      <c r="D31" s="15"/>
      <c r="E31" s="15"/>
      <c r="F31" s="25"/>
      <c r="G31" s="26"/>
      <c r="H31" s="134"/>
      <c r="I31" s="134"/>
      <c r="J31" s="134"/>
      <c r="K31" s="135"/>
    </row>
    <row r="32" spans="1:11" x14ac:dyDescent="0.35">
      <c r="A32" s="14"/>
      <c r="B32" s="37" t="s">
        <v>50</v>
      </c>
      <c r="C32" s="15"/>
      <c r="D32" s="15"/>
      <c r="E32" s="15"/>
      <c r="F32" s="25"/>
      <c r="G32" s="26"/>
      <c r="H32" s="26"/>
      <c r="I32" s="26"/>
      <c r="J32" s="29"/>
      <c r="K32" s="27"/>
    </row>
    <row r="33" spans="1:11" x14ac:dyDescent="0.35">
      <c r="A33" s="14"/>
      <c r="B33" s="37" t="s">
        <v>51</v>
      </c>
      <c r="C33" s="15"/>
      <c r="D33" s="15"/>
      <c r="E33" s="15"/>
      <c r="F33" s="25"/>
      <c r="G33" s="26"/>
      <c r="H33" s="26"/>
      <c r="I33" s="26"/>
      <c r="J33" s="29"/>
      <c r="K33" s="27"/>
    </row>
    <row r="34" spans="1:11" x14ac:dyDescent="0.35">
      <c r="A34" s="14"/>
      <c r="B34" s="37" t="s">
        <v>53</v>
      </c>
      <c r="C34" s="15"/>
      <c r="D34" s="15"/>
      <c r="E34" s="15"/>
      <c r="F34" s="25"/>
      <c r="G34" s="26"/>
      <c r="H34" s="30"/>
      <c r="I34" s="26"/>
      <c r="J34" s="29"/>
      <c r="K34" s="27"/>
    </row>
    <row r="35" spans="1:11" x14ac:dyDescent="0.35">
      <c r="A35" s="14"/>
      <c r="B35" s="37" t="s">
        <v>52</v>
      </c>
      <c r="C35" s="15"/>
      <c r="D35" s="15"/>
      <c r="E35" s="15"/>
      <c r="F35" s="25"/>
      <c r="G35" s="26"/>
      <c r="H35" s="26"/>
      <c r="I35" s="26"/>
      <c r="J35" s="26"/>
      <c r="K35" s="27"/>
    </row>
    <row r="36" spans="1:11" ht="15.75" customHeight="1" x14ac:dyDescent="0.35">
      <c r="A36" s="31"/>
      <c r="B36" s="32"/>
      <c r="C36" s="32"/>
      <c r="D36" s="32"/>
      <c r="E36" s="32"/>
      <c r="F36" s="33"/>
      <c r="G36" s="34"/>
      <c r="H36" s="34"/>
      <c r="I36" s="34"/>
      <c r="J36" s="34"/>
      <c r="K36" s="35"/>
    </row>
    <row r="37" spans="1:11" ht="32.25" customHeight="1" x14ac:dyDescent="0.35">
      <c r="A37" s="132" t="s">
        <v>24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</sheetData>
  <sheetProtection algorithmName="SHA-512" hashValue="l/tF4dpl4c9sjl/Pb5gH0Jb8AKAHEHpk1y3x2ci3N4gy7BBm0UiYAb3jHFJqBTulhWAzTAPAYIdxgL/prnFjAg==" saltValue="6IZzblbOx7dbFOsyNqv6AQ==" spinCount="100000" sheet="1" objects="1" scenarios="1"/>
  <mergeCells count="2">
    <mergeCell ref="A37:K37"/>
    <mergeCell ref="H28:K31"/>
  </mergeCells>
  <conditionalFormatting sqref="B12">
    <cfRule type="expression" dxfId="11" priority="12">
      <formula>IF($I$3&gt;=650,$I$3&lt;=1300)</formula>
    </cfRule>
  </conditionalFormatting>
  <conditionalFormatting sqref="B18">
    <cfRule type="expression" dxfId="10" priority="11">
      <formula>IF($I$3&gt;=1220,$I$3&lt;=2520)</formula>
    </cfRule>
  </conditionalFormatting>
  <conditionalFormatting sqref="B24">
    <cfRule type="expression" dxfId="9" priority="10">
      <formula>IF($I$3&gt;=1010,$I$3&lt;=2101.5)</formula>
    </cfRule>
  </conditionalFormatting>
  <conditionalFormatting sqref="B31">
    <cfRule type="expression" dxfId="8" priority="9">
      <formula>IF($I$3&gt;=1730,$I$3&lt;=4113)</formula>
    </cfRule>
  </conditionalFormatting>
  <conditionalFormatting sqref="G12">
    <cfRule type="expression" dxfId="7" priority="8">
      <formula>IF($I$3&gt;=600,$I$3&lt;=1100)</formula>
    </cfRule>
  </conditionalFormatting>
  <conditionalFormatting sqref="G18">
    <cfRule type="expression" dxfId="6" priority="7">
      <formula>IF($I$3&gt;=1120,$I$3&lt;=2120)</formula>
    </cfRule>
  </conditionalFormatting>
  <conditionalFormatting sqref="A24">
    <cfRule type="expression" dxfId="5" priority="6">
      <formula>IF($I$3&gt;=1010,$I$3&lt;=2101.5)</formula>
    </cfRule>
  </conditionalFormatting>
  <conditionalFormatting sqref="A31">
    <cfRule type="expression" dxfId="4" priority="5">
      <formula>IF($I$3&gt;=1730,$I$3&lt;=4113)</formula>
    </cfRule>
  </conditionalFormatting>
  <conditionalFormatting sqref="A18">
    <cfRule type="expression" dxfId="3" priority="4">
      <formula>IF($I$3&gt;=1220,$I$3&lt;=2520)</formula>
    </cfRule>
  </conditionalFormatting>
  <conditionalFormatting sqref="A12">
    <cfRule type="expression" dxfId="2" priority="3">
      <formula>IF($I$3&gt;=650,$I$3&lt;=1300)</formula>
    </cfRule>
  </conditionalFormatting>
  <conditionalFormatting sqref="F12">
    <cfRule type="expression" dxfId="1" priority="2">
      <formula>IF($I$3&gt;=600,$I$3&lt;=1100)</formula>
    </cfRule>
  </conditionalFormatting>
  <conditionalFormatting sqref="F18">
    <cfRule type="expression" dxfId="0" priority="1">
      <formula>IF($I$3&gt;=1120,$I$3&lt;=2120)</formula>
    </cfRule>
  </conditionalFormatting>
  <dataValidations count="1">
    <dataValidation type="whole" allowBlank="1" showInputMessage="1" showErrorMessage="1" errorTitle="Errore valore LFM" error="Inserire un valore di Larghezza Foro Muro valido (tra 600 mm e 4113 mm)" sqref="I3" xr:uid="{B445F3A6-38A0-49BF-9277-7CE25D1D0214}">
      <formula1>600</formula1>
      <formula2>4113</formula2>
    </dataValidation>
  </dataValidations>
  <hyperlinks>
    <hyperlink ref="B12" location="'180° Single'!A1" display="Single opening" xr:uid="{B18E063E-0DF2-4ED3-8829-2AD8F3137B8F}"/>
    <hyperlink ref="G12" location="'90° Single'!A1" display="Single opening" xr:uid="{3C825681-1D9E-4F17-86A5-95BDDA49D2DD}"/>
    <hyperlink ref="B18" location="'180° Double'!A1" display="Double opening" xr:uid="{F2BA2F70-7AD0-4BAF-9B02-375CED3A1447}"/>
    <hyperlink ref="G18" location="'90° Double'!A1" display="Double opening" xr:uid="{9EB1494F-D08E-447B-BFC6-542F882F4CEE}"/>
    <hyperlink ref="B24" location="'180° Single opening 3 leavs'!A1" display="Single opening 3 leaves" xr:uid="{4E2C347F-A79A-4328-86CB-7EE1ED127F75}"/>
    <hyperlink ref="B31" location="'180° Double opening 3 leavs'!A1" display="Double opening 3 leaves" xr:uid="{89CE9044-E456-44F7-9DDA-B07B274785C0}"/>
  </hyperlinks>
  <pageMargins left="0.7" right="0.7" top="0.75" bottom="0.75" header="0.3" footer="0.3"/>
  <pageSetup paperSize="9" scale="7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zoomScaleNormal="100" workbookViewId="0">
      <pane ySplit="5" topLeftCell="A6" activePane="bottomLeft" state="frozen"/>
      <selection pane="bottomLeft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1" width="15.54296875" style="41" customWidth="1"/>
    <col min="12" max="16384" width="8.81640625" style="41"/>
  </cols>
  <sheetData>
    <row r="1" spans="1:18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8" ht="30.75" customHeight="1" x14ac:dyDescent="0.35">
      <c r="A2" s="42"/>
      <c r="B2" s="43"/>
      <c r="C2" s="43"/>
      <c r="D2" s="44" t="s">
        <v>37</v>
      </c>
      <c r="E2" s="97"/>
      <c r="F2" s="43"/>
      <c r="G2" s="43"/>
      <c r="H2" s="43"/>
      <c r="I2" s="45" t="s">
        <v>39</v>
      </c>
      <c r="J2" s="46"/>
      <c r="K2" s="47"/>
    </row>
    <row r="3" spans="1:18" ht="22.5" customHeight="1" x14ac:dyDescent="0.35">
      <c r="A3" s="42"/>
      <c r="B3" s="48"/>
      <c r="C3" s="43"/>
      <c r="D3" s="49" t="s">
        <v>38</v>
      </c>
      <c r="E3" s="43"/>
      <c r="F3" s="43"/>
      <c r="G3" s="43"/>
      <c r="H3" s="50" t="s">
        <v>25</v>
      </c>
      <c r="I3" s="96">
        <f>Menu!I3</f>
        <v>0</v>
      </c>
      <c r="J3" s="51" t="s">
        <v>26</v>
      </c>
      <c r="K3" s="47"/>
    </row>
    <row r="4" spans="1:18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7"/>
    </row>
    <row r="5" spans="1:18" ht="5.25" customHeight="1" x14ac:dyDescent="0.35">
      <c r="A5" s="52"/>
      <c r="B5" s="53"/>
      <c r="C5" s="53"/>
      <c r="D5" s="53"/>
      <c r="E5" s="53"/>
      <c r="F5" s="53"/>
      <c r="G5" s="53"/>
      <c r="H5" s="53"/>
      <c r="I5" s="53"/>
      <c r="J5" s="53"/>
      <c r="K5" s="54"/>
      <c r="M5" s="53"/>
      <c r="N5" s="53"/>
      <c r="O5" s="53"/>
      <c r="P5" s="53"/>
      <c r="Q5" s="53"/>
      <c r="R5" s="53"/>
    </row>
    <row r="6" spans="1:18" ht="25" customHeight="1" x14ac:dyDescent="0.35">
      <c r="A6" s="139" t="s">
        <v>47</v>
      </c>
      <c r="B6" s="140"/>
      <c r="C6" s="139" t="s">
        <v>40</v>
      </c>
      <c r="D6" s="141"/>
      <c r="E6" s="141"/>
      <c r="F6" s="141"/>
      <c r="G6" s="141"/>
      <c r="H6" s="141"/>
      <c r="I6" s="141"/>
      <c r="J6" s="141"/>
      <c r="K6" s="140"/>
    </row>
    <row r="7" spans="1:18" ht="45" customHeight="1" x14ac:dyDescent="0.35">
      <c r="A7" s="55" t="s">
        <v>41</v>
      </c>
      <c r="B7" s="56" t="s">
        <v>0</v>
      </c>
      <c r="C7" s="57" t="s">
        <v>61</v>
      </c>
      <c r="D7" s="58" t="s">
        <v>42</v>
      </c>
      <c r="E7" s="59" t="s">
        <v>43</v>
      </c>
      <c r="F7" s="59" t="s">
        <v>22</v>
      </c>
      <c r="G7" s="58" t="s">
        <v>44</v>
      </c>
      <c r="H7" s="58" t="s">
        <v>82</v>
      </c>
      <c r="I7" s="58" t="s">
        <v>45</v>
      </c>
      <c r="J7" s="58" t="s">
        <v>21</v>
      </c>
      <c r="K7" s="60" t="s">
        <v>46</v>
      </c>
    </row>
    <row r="8" spans="1:18" ht="30" customHeight="1" x14ac:dyDescent="0.35">
      <c r="A8" s="61" t="s">
        <v>1</v>
      </c>
      <c r="B8" s="62" t="s">
        <v>2</v>
      </c>
      <c r="C8" s="81" t="str">
        <f>IF(I3="","-",IF(I3&lt;650,"-",IF(I3&gt;=650,IF(I3&lt;=900,"F60",IF(I3&gt;900,"-")))))</f>
        <v>-</v>
      </c>
      <c r="D8" s="82" t="str">
        <f>IF(C8="-","",306.5)</f>
        <v/>
      </c>
      <c r="E8" s="83" t="str">
        <f>IF(C8="-","",I3-393.5)</f>
        <v/>
      </c>
      <c r="F8" s="84" t="str">
        <f>IF(C8="-","",E8-D8)</f>
        <v/>
      </c>
      <c r="G8" s="85" t="str">
        <f>IF(C8="-","",355)</f>
        <v/>
      </c>
      <c r="H8" s="85" t="str">
        <f>IF(C8="-","",250)</f>
        <v/>
      </c>
      <c r="I8" s="85" t="str">
        <f>IF(C8="-","",I3-20)</f>
        <v/>
      </c>
      <c r="J8" s="84" t="str">
        <f>IF(C8="-","",D8+E8+1)</f>
        <v/>
      </c>
      <c r="K8" s="86" t="str">
        <f>IF(C8="-","",IF(F8&gt;=0,592,D8+E8+29))</f>
        <v/>
      </c>
    </row>
    <row r="9" spans="1:18" ht="30" customHeight="1" x14ac:dyDescent="0.35">
      <c r="A9" s="63" t="s">
        <v>3</v>
      </c>
      <c r="B9" s="64" t="s">
        <v>4</v>
      </c>
      <c r="C9" s="87" t="str">
        <f>IF(I3="","-",IF(I3&lt;750,"-",IF(I3&gt;=750,IF(I3&lt;=1000,"F70",IF(I3&gt;1000,"-")))))</f>
        <v>-</v>
      </c>
      <c r="D9" s="88" t="str">
        <f>IF(C9="-","",356.5)</f>
        <v/>
      </c>
      <c r="E9" s="89" t="str">
        <f>IF(C9="-","",I3-443.5)</f>
        <v/>
      </c>
      <c r="F9" s="90" t="str">
        <f>IF(C9="-","",E9-D9)</f>
        <v/>
      </c>
      <c r="G9" s="91" t="str">
        <f>IF(C9="-","",405)</f>
        <v/>
      </c>
      <c r="H9" s="91" t="str">
        <f>IF(C9="-","",300)</f>
        <v/>
      </c>
      <c r="I9" s="91" t="str">
        <f>IF(C9="-","",I3-20)</f>
        <v/>
      </c>
      <c r="J9" s="90" t="str">
        <f t="shared" ref="J9:J12" si="0">IF(C9="-","",D9+E9+1)</f>
        <v/>
      </c>
      <c r="K9" s="92" t="str">
        <f>IF(C9="-","",IF(F9&gt;=0,692,I9-80-8))</f>
        <v/>
      </c>
    </row>
    <row r="10" spans="1:18" ht="30" customHeight="1" x14ac:dyDescent="0.35">
      <c r="A10" s="61" t="s">
        <v>5</v>
      </c>
      <c r="B10" s="62" t="s">
        <v>8</v>
      </c>
      <c r="C10" s="81" t="str">
        <f>IF(I3="","-",IF(I3&lt;850,"-",IF(I3&gt;=850,IF(I3&lt;=1100,"A80",IF(I3&gt;1100,"-")))))</f>
        <v>-</v>
      </c>
      <c r="D10" s="82" t="str">
        <f>IF(C10="-","",406.5)</f>
        <v/>
      </c>
      <c r="E10" s="83" t="str">
        <f>IF(C10="-","",I3-493.5)</f>
        <v/>
      </c>
      <c r="F10" s="84" t="str">
        <f>IF(C10="-","",E10-D10)</f>
        <v/>
      </c>
      <c r="G10" s="85" t="str">
        <f>IF(C10="-","",455)</f>
        <v/>
      </c>
      <c r="H10" s="85" t="str">
        <f>IF(C10="-","",350)</f>
        <v/>
      </c>
      <c r="I10" s="85" t="str">
        <f>IF(C10="-","",I3-20)</f>
        <v/>
      </c>
      <c r="J10" s="84" t="str">
        <f t="shared" si="0"/>
        <v/>
      </c>
      <c r="K10" s="86" t="str">
        <f>IF(C10="-","",IF(F10&gt;=0,792,I10-80-8))</f>
        <v/>
      </c>
    </row>
    <row r="11" spans="1:18" ht="30" customHeight="1" x14ac:dyDescent="0.35">
      <c r="A11" s="63" t="s">
        <v>6</v>
      </c>
      <c r="B11" s="64" t="s">
        <v>9</v>
      </c>
      <c r="C11" s="87" t="str">
        <f>IF(I3="","-",IF(I3&lt;950,"-",IF(I3&gt;=950,IF(I3&lt;=1200,"B90",IF(I3&gt;1200,"-")))))</f>
        <v>-</v>
      </c>
      <c r="D11" s="88" t="str">
        <f>IF(C11="-","",456.5)</f>
        <v/>
      </c>
      <c r="E11" s="89" t="str">
        <f>IF(C11="-","",I3-543.5)</f>
        <v/>
      </c>
      <c r="F11" s="90" t="str">
        <f t="shared" ref="F11:F12" si="1">IF(C11="-","",E11-D11)</f>
        <v/>
      </c>
      <c r="G11" s="91" t="str">
        <f>IF(C11="-","",505)</f>
        <v/>
      </c>
      <c r="H11" s="91" t="str">
        <f>IF(C11="-","",400)</f>
        <v/>
      </c>
      <c r="I11" s="91" t="str">
        <f>IF(C11="-","",I3-20)</f>
        <v/>
      </c>
      <c r="J11" s="90" t="str">
        <f t="shared" si="0"/>
        <v/>
      </c>
      <c r="K11" s="92" t="str">
        <f>IF(C11="-","",IF(F11&gt;=0,892,I11-80-8))</f>
        <v/>
      </c>
    </row>
    <row r="12" spans="1:18" ht="30" customHeight="1" x14ac:dyDescent="0.35">
      <c r="A12" s="65" t="s">
        <v>7</v>
      </c>
      <c r="B12" s="62" t="s">
        <v>10</v>
      </c>
      <c r="C12" s="81" t="str">
        <f>IF(I3="","-",IF(I3&lt;1050,"-",IF(I3&gt;=1050,IF(I3&lt;=1300,"B100",IF(I3&gt;1300,"-")))))</f>
        <v>-</v>
      </c>
      <c r="D12" s="82" t="str">
        <f>IF(C12="-","",506.5)</f>
        <v/>
      </c>
      <c r="E12" s="83" t="str">
        <f>IF(C12="-","",I3-593.5)</f>
        <v/>
      </c>
      <c r="F12" s="84" t="str">
        <f t="shared" si="1"/>
        <v/>
      </c>
      <c r="G12" s="85" t="str">
        <f>IF(C12="-","",555)</f>
        <v/>
      </c>
      <c r="H12" s="85" t="str">
        <f>IF(C12="-","",450)</f>
        <v/>
      </c>
      <c r="I12" s="93" t="str">
        <f>IF(C12="-","",I3-20)</f>
        <v/>
      </c>
      <c r="J12" s="94" t="str">
        <f t="shared" si="0"/>
        <v/>
      </c>
      <c r="K12" s="95" t="str">
        <f>IF(C12="-","",IF(F12&gt;=0,992,I12-80-8))</f>
        <v/>
      </c>
    </row>
    <row r="13" spans="1:18" ht="30" customHeight="1" x14ac:dyDescent="0.45">
      <c r="A13" s="66" t="s">
        <v>48</v>
      </c>
      <c r="B13" s="67"/>
      <c r="C13" s="68"/>
      <c r="D13" s="68"/>
      <c r="E13" s="69"/>
      <c r="F13" s="70"/>
      <c r="G13" s="70"/>
      <c r="H13" s="70"/>
      <c r="I13" s="142" t="s">
        <v>49</v>
      </c>
      <c r="J13" s="142"/>
      <c r="K13" s="143"/>
      <c r="L13" s="53"/>
      <c r="M13" s="53"/>
      <c r="N13" s="53"/>
      <c r="O13" s="53"/>
      <c r="P13" s="53"/>
      <c r="Q13" s="53"/>
      <c r="R13" s="53"/>
    </row>
    <row r="14" spans="1:18" ht="30" customHeight="1" x14ac:dyDescent="0.35">
      <c r="A14" s="71"/>
      <c r="B14" s="72"/>
      <c r="C14" s="73"/>
      <c r="D14" s="73"/>
      <c r="E14" s="74"/>
      <c r="F14" s="75"/>
      <c r="G14" s="75"/>
      <c r="H14" s="75"/>
      <c r="I14" s="75"/>
      <c r="J14" s="75"/>
      <c r="K14" s="76"/>
      <c r="L14" s="53"/>
      <c r="M14" s="53"/>
      <c r="N14" s="53"/>
      <c r="O14" s="53"/>
      <c r="P14" s="53"/>
      <c r="Q14" s="53"/>
      <c r="R14" s="53"/>
    </row>
    <row r="15" spans="1:18" ht="30" customHeight="1" x14ac:dyDescent="0.35">
      <c r="A15" s="71"/>
      <c r="B15" s="72"/>
      <c r="C15" s="73"/>
      <c r="D15" s="73"/>
      <c r="E15" s="74"/>
      <c r="F15" s="75"/>
      <c r="G15" s="75"/>
      <c r="H15" s="75"/>
      <c r="I15" s="75"/>
      <c r="J15" s="75"/>
      <c r="K15" s="76"/>
      <c r="L15" s="53"/>
      <c r="M15" s="53"/>
      <c r="N15" s="53"/>
      <c r="O15" s="53"/>
      <c r="P15" s="53"/>
      <c r="Q15" s="53"/>
      <c r="R15" s="53"/>
    </row>
    <row r="16" spans="1:18" ht="30" customHeight="1" x14ac:dyDescent="0.35">
      <c r="A16" s="71"/>
      <c r="B16" s="72"/>
      <c r="C16" s="73"/>
      <c r="D16" s="73"/>
      <c r="E16" s="74"/>
      <c r="F16" s="75"/>
      <c r="G16" s="75"/>
      <c r="H16" s="75"/>
      <c r="I16" s="75"/>
      <c r="J16" s="75"/>
      <c r="K16" s="76"/>
      <c r="L16" s="53"/>
      <c r="M16" s="53"/>
      <c r="N16" s="53"/>
      <c r="O16" s="53"/>
      <c r="P16" s="53"/>
      <c r="Q16" s="53"/>
      <c r="R16" s="53"/>
    </row>
    <row r="17" spans="1:17" ht="30" customHeight="1" x14ac:dyDescent="0.35">
      <c r="A17" s="71"/>
      <c r="B17" s="72"/>
      <c r="C17" s="73"/>
      <c r="D17" s="73"/>
      <c r="E17" s="74"/>
      <c r="F17" s="75"/>
      <c r="G17" s="75"/>
      <c r="H17" s="75"/>
      <c r="I17" s="75"/>
      <c r="J17" s="75"/>
      <c r="K17" s="76"/>
      <c r="L17" s="53"/>
      <c r="M17" s="53"/>
      <c r="N17" s="53"/>
      <c r="O17" s="53"/>
      <c r="P17" s="53"/>
      <c r="Q17" s="53"/>
    </row>
    <row r="18" spans="1:17" ht="30" customHeight="1" x14ac:dyDescent="0.35">
      <c r="A18" s="71"/>
      <c r="B18" s="72"/>
      <c r="C18" s="73"/>
      <c r="D18" s="73"/>
      <c r="E18" s="74"/>
      <c r="F18" s="75"/>
      <c r="G18" s="75"/>
      <c r="H18" s="75"/>
      <c r="I18" s="75"/>
      <c r="J18" s="75"/>
      <c r="K18" s="76"/>
      <c r="L18" s="53"/>
      <c r="M18" s="53"/>
      <c r="N18" s="53"/>
      <c r="O18" s="53"/>
      <c r="P18" s="53"/>
      <c r="Q18" s="53"/>
    </row>
    <row r="19" spans="1:17" ht="30" customHeight="1" x14ac:dyDescent="0.35">
      <c r="A19" s="71"/>
      <c r="B19" s="72"/>
      <c r="C19" s="73"/>
      <c r="D19" s="73"/>
      <c r="E19" s="74"/>
      <c r="F19" s="75"/>
      <c r="G19" s="75"/>
      <c r="H19" s="75"/>
      <c r="I19" s="75"/>
      <c r="J19" s="75"/>
      <c r="K19" s="76"/>
      <c r="L19" s="53"/>
      <c r="M19" s="53"/>
      <c r="N19" s="53"/>
      <c r="O19" s="53"/>
      <c r="P19" s="53"/>
      <c r="Q19" s="53"/>
    </row>
    <row r="20" spans="1:17" ht="30" customHeight="1" x14ac:dyDescent="0.35">
      <c r="A20" s="71"/>
      <c r="B20" s="72"/>
      <c r="C20" s="73"/>
      <c r="D20" s="73"/>
      <c r="E20" s="74"/>
      <c r="F20" s="75"/>
      <c r="G20" s="75"/>
      <c r="H20" s="75"/>
      <c r="I20" s="75"/>
      <c r="J20" s="75"/>
      <c r="K20" s="76"/>
      <c r="L20" s="53"/>
      <c r="M20" s="53"/>
      <c r="N20" s="53"/>
      <c r="O20" s="53"/>
      <c r="P20" s="53"/>
      <c r="Q20" s="53"/>
    </row>
    <row r="21" spans="1:17" ht="36" customHeight="1" x14ac:dyDescent="0.35">
      <c r="A21" s="136" t="s">
        <v>60</v>
      </c>
      <c r="B21" s="137"/>
      <c r="C21" s="77"/>
      <c r="D21" s="77"/>
      <c r="E21" s="78"/>
      <c r="F21" s="79"/>
      <c r="G21" s="79"/>
      <c r="H21" s="79"/>
      <c r="I21" s="79"/>
      <c r="J21" s="79"/>
      <c r="K21" s="80"/>
      <c r="L21" s="53"/>
      <c r="M21" s="53"/>
      <c r="N21" s="53"/>
      <c r="O21" s="53"/>
      <c r="P21" s="53"/>
      <c r="Q21" s="53"/>
    </row>
    <row r="22" spans="1:17" ht="32.25" customHeight="1" x14ac:dyDescent="0.35">
      <c r="A22" s="138" t="s">
        <v>24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</sheetData>
  <sheetProtection algorithmName="SHA-512" hashValue="u7Wus0AqstMlX3XAdxib04nlkYBN3JIol/2r9My9LPMUOjqZ2g605VSe2OBmAmCoguCxZr08alVPyBp/cfKeLw==" saltValue="0+ya0p94eOKryPLuBJHBTw==" spinCount="100000" sheet="1" objects="1" scenarios="1"/>
  <mergeCells count="5">
    <mergeCell ref="A21:B21"/>
    <mergeCell ref="A22:K22"/>
    <mergeCell ref="A6:B6"/>
    <mergeCell ref="C6:K6"/>
    <mergeCell ref="I13:K13"/>
  </mergeCells>
  <dataValidations count="1">
    <dataValidation allowBlank="1" showInputMessage="1" showErrorMessage="1" errorTitle="Errore valore LFM" error="Inserire un valore di Larghezza Foro Muro valido (tra 650 mm e 1.300 mm)" sqref="I3" xr:uid="{30036AFF-D4EC-4FE5-93C1-9826241EDB12}"/>
  </dataValidations>
  <hyperlinks>
    <hyperlink ref="A21:B21" location="Menu!A1" display="  &lt;&lt; Torna al menu" xr:uid="{D53EFB2F-E527-4D98-918E-AEA0B6468828}"/>
    <hyperlink ref="I3" location="Menu!I3" display="Menu!I3" xr:uid="{6EFE4755-D2D3-434C-B9DB-7840C3F7B99C}"/>
  </hyperlinks>
  <pageMargins left="0.7" right="0.7" top="0.75" bottom="0.75" header="0.3" footer="0.3"/>
  <pageSetup paperSize="9" scale="7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E0CB-0E36-486B-9C45-70E7488AB624}">
  <dimension ref="A1:K22"/>
  <sheetViews>
    <sheetView zoomScaleNormal="100" workbookViewId="0">
      <pane ySplit="5" topLeftCell="A6" activePane="bottomLeft" state="frozen"/>
      <selection pane="bottomLeft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1" width="15.54296875" style="41" customWidth="1"/>
    <col min="12" max="16384" width="8.81640625" style="41"/>
  </cols>
  <sheetData>
    <row r="1" spans="1:11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30.75" customHeight="1" x14ac:dyDescent="0.35">
      <c r="A2" s="42"/>
      <c r="B2" s="97"/>
      <c r="C2" s="97"/>
      <c r="D2" s="44" t="s">
        <v>37</v>
      </c>
      <c r="E2" s="97"/>
      <c r="F2" s="97"/>
      <c r="G2" s="97"/>
      <c r="H2" s="97"/>
      <c r="I2" s="98" t="s">
        <v>39</v>
      </c>
      <c r="J2" s="99"/>
      <c r="K2" s="47"/>
    </row>
    <row r="3" spans="1:11" ht="22.5" customHeight="1" x14ac:dyDescent="0.35">
      <c r="A3" s="42"/>
      <c r="B3" s="100"/>
      <c r="C3" s="97"/>
      <c r="D3" s="101" t="s">
        <v>63</v>
      </c>
      <c r="E3" s="97"/>
      <c r="F3" s="97"/>
      <c r="G3" s="97"/>
      <c r="H3" s="102" t="s">
        <v>35</v>
      </c>
      <c r="I3" s="96">
        <f>Menu!I3</f>
        <v>0</v>
      </c>
      <c r="J3" s="103" t="s">
        <v>27</v>
      </c>
      <c r="K3" s="47"/>
    </row>
    <row r="4" spans="1:11" ht="15" customHeight="1" x14ac:dyDescent="0.35">
      <c r="A4" s="42"/>
      <c r="B4" s="97"/>
      <c r="C4" s="97"/>
      <c r="D4" s="97"/>
      <c r="E4" s="97"/>
      <c r="F4" s="97"/>
      <c r="G4" s="97"/>
      <c r="H4" s="97"/>
      <c r="I4" s="97"/>
      <c r="J4" s="97"/>
      <c r="K4" s="47"/>
    </row>
    <row r="5" spans="1:11" ht="5.25" customHeight="1" x14ac:dyDescent="0.35">
      <c r="C5" s="104"/>
      <c r="D5" s="105"/>
    </row>
    <row r="6" spans="1:11" ht="25" customHeight="1" x14ac:dyDescent="0.35">
      <c r="A6" s="139" t="s">
        <v>47</v>
      </c>
      <c r="B6" s="140"/>
      <c r="C6" s="139" t="s">
        <v>62</v>
      </c>
      <c r="D6" s="141"/>
      <c r="E6" s="141"/>
      <c r="F6" s="141"/>
      <c r="G6" s="141"/>
      <c r="H6" s="141"/>
      <c r="I6" s="141"/>
      <c r="J6" s="141"/>
      <c r="K6" s="140"/>
    </row>
    <row r="7" spans="1:11" ht="45" customHeight="1" x14ac:dyDescent="0.35">
      <c r="A7" s="55" t="s">
        <v>41</v>
      </c>
      <c r="B7" s="56" t="s">
        <v>0</v>
      </c>
      <c r="C7" s="57" t="s">
        <v>61</v>
      </c>
      <c r="D7" s="58" t="s">
        <v>42</v>
      </c>
      <c r="E7" s="59" t="s">
        <v>43</v>
      </c>
      <c r="F7" s="59" t="s">
        <v>22</v>
      </c>
      <c r="G7" s="58" t="s">
        <v>44</v>
      </c>
      <c r="H7" s="58" t="s">
        <v>82</v>
      </c>
      <c r="I7" s="58" t="s">
        <v>45</v>
      </c>
      <c r="J7" s="58" t="s">
        <v>21</v>
      </c>
      <c r="K7" s="60" t="s">
        <v>46</v>
      </c>
    </row>
    <row r="8" spans="1:11" ht="30" customHeight="1" x14ac:dyDescent="0.35">
      <c r="A8" s="61" t="s">
        <v>11</v>
      </c>
      <c r="B8" s="62" t="s">
        <v>16</v>
      </c>
      <c r="C8" s="81" t="str">
        <f>IF(I3="","-",IF(I3&lt;600,"-",IF(I3&gt;=600,IF(I3&lt;=700,"F60",IF(I3&gt;700,"-")))))</f>
        <v>-</v>
      </c>
      <c r="D8" s="82" t="str">
        <f>IF(C8="-","",306.5)</f>
        <v/>
      </c>
      <c r="E8" s="83" t="str">
        <f>IF(C8="-","",I3-393.5)</f>
        <v/>
      </c>
      <c r="F8" s="84" t="str">
        <f>IF(C8="-","",E8-D8)</f>
        <v/>
      </c>
      <c r="G8" s="85" t="str">
        <f>IF(C8="-","",347)</f>
        <v/>
      </c>
      <c r="H8" s="85" t="str">
        <f>IF(C8="-","",15)</f>
        <v/>
      </c>
      <c r="I8" s="85" t="str">
        <f>IF(C8="-","",I3-20)</f>
        <v/>
      </c>
      <c r="J8" s="84" t="str">
        <f>IF(C8="-","",D8+E8+1)</f>
        <v/>
      </c>
      <c r="K8" s="86" t="str">
        <f>IF(C8="-","",IF(F8&gt;=0,502,D8+E8-111))</f>
        <v/>
      </c>
    </row>
    <row r="9" spans="1:11" ht="30" customHeight="1" x14ac:dyDescent="0.35">
      <c r="A9" s="63" t="s">
        <v>12</v>
      </c>
      <c r="B9" s="64" t="s">
        <v>17</v>
      </c>
      <c r="C9" s="87" t="str">
        <f>IF(I3="","-",IF(I3&lt;700,"-",IF(I3&gt;=700,IF(I3&lt;=800,"F70",IF(I3&gt;800,"-")))))</f>
        <v>-</v>
      </c>
      <c r="D9" s="88" t="str">
        <f>IF(C9="-","",356.5)</f>
        <v/>
      </c>
      <c r="E9" s="89" t="str">
        <f>IF(C9="-","",I3-443.5)</f>
        <v/>
      </c>
      <c r="F9" s="90" t="str">
        <f t="shared" ref="F9:F12" si="0">IF(C9="-","",E9-D9)</f>
        <v/>
      </c>
      <c r="G9" s="91" t="str">
        <f>IF(C9="-","",397)</f>
        <v/>
      </c>
      <c r="H9" s="91" t="str">
        <f>IF(C9="-","",0)</f>
        <v/>
      </c>
      <c r="I9" s="91" t="str">
        <f>IF(C9="-","",I3-20)</f>
        <v/>
      </c>
      <c r="J9" s="90" t="str">
        <f t="shared" ref="J9:J12" si="1">IF(C9="-","",D9+E9+1)</f>
        <v/>
      </c>
      <c r="K9" s="92" t="str">
        <f>IF(C9="-","",IF(F9&gt;=0,602,D9+E9-111))</f>
        <v/>
      </c>
    </row>
    <row r="10" spans="1:11" ht="30" customHeight="1" x14ac:dyDescent="0.35">
      <c r="A10" s="61" t="s">
        <v>13</v>
      </c>
      <c r="B10" s="62" t="s">
        <v>18</v>
      </c>
      <c r="C10" s="81" t="str">
        <f>IF(I3="","-",IF(I3&lt;800,"-",IF(I3&gt;=800,IF(I3&lt;=900,"A80",IF(I3&gt;900,"-")))))</f>
        <v>-</v>
      </c>
      <c r="D10" s="82" t="str">
        <f>IF(C10="-","",406.5)</f>
        <v/>
      </c>
      <c r="E10" s="83" t="str">
        <f>IF(C10="-","",I3-493.5)</f>
        <v/>
      </c>
      <c r="F10" s="84" t="str">
        <f t="shared" si="0"/>
        <v/>
      </c>
      <c r="G10" s="85" t="str">
        <f>IF(C10="-","",447)</f>
        <v/>
      </c>
      <c r="H10" s="85" t="str">
        <f>IF(C10="-","",20)</f>
        <v/>
      </c>
      <c r="I10" s="85" t="str">
        <f>IF(C10="-","",I3-20)</f>
        <v/>
      </c>
      <c r="J10" s="84" t="str">
        <f t="shared" si="1"/>
        <v/>
      </c>
      <c r="K10" s="86" t="str">
        <f>IF(C10="-","",IF(F10&gt;=0,702,D10+E10-111))</f>
        <v/>
      </c>
    </row>
    <row r="11" spans="1:11" ht="30" customHeight="1" x14ac:dyDescent="0.35">
      <c r="A11" s="63" t="s">
        <v>14</v>
      </c>
      <c r="B11" s="64" t="s">
        <v>19</v>
      </c>
      <c r="C11" s="87" t="str">
        <f>IF(I3="","-",IF(I3&lt;900,"-",IF(I3&gt;=900,IF(I3&lt;=1000,"B90",IF(I3&gt;1000,"-")))))</f>
        <v>-</v>
      </c>
      <c r="D11" s="88" t="str">
        <f>IF(C11="-","",456.5)</f>
        <v/>
      </c>
      <c r="E11" s="89" t="str">
        <f>IF(C11="-","",I3-543.5)</f>
        <v/>
      </c>
      <c r="F11" s="90" t="str">
        <f t="shared" si="0"/>
        <v/>
      </c>
      <c r="G11" s="91" t="str">
        <f>IF(C11="-","",497)</f>
        <v/>
      </c>
      <c r="H11" s="91" t="str">
        <f>IF(C11="-","",110)</f>
        <v/>
      </c>
      <c r="I11" s="91" t="str">
        <f>IF(C11="-","",I3-20)</f>
        <v/>
      </c>
      <c r="J11" s="90" t="str">
        <f t="shared" si="1"/>
        <v/>
      </c>
      <c r="K11" s="92" t="str">
        <f>IF(C11="-","",IF(F11&gt;=0,802,D11+E11-111))</f>
        <v/>
      </c>
    </row>
    <row r="12" spans="1:11" ht="30" customHeight="1" x14ac:dyDescent="0.35">
      <c r="A12" s="65" t="s">
        <v>15</v>
      </c>
      <c r="B12" s="62" t="s">
        <v>20</v>
      </c>
      <c r="C12" s="111" t="str">
        <f>IF(I3="","-",IF(I3&lt;1000,"-",IF(I3&gt;=1000,IF(I3&lt;=1100,"B100",IF(I3&gt;1100,"-")))))</f>
        <v>-</v>
      </c>
      <c r="D12" s="112" t="str">
        <f>IF(C12="-","",506.5)</f>
        <v/>
      </c>
      <c r="E12" s="113" t="str">
        <f>IF(C12="-","",I3-593.5)</f>
        <v/>
      </c>
      <c r="F12" s="114" t="str">
        <f t="shared" si="0"/>
        <v/>
      </c>
      <c r="G12" s="115" t="str">
        <f>IF(C12="-","",547)</f>
        <v/>
      </c>
      <c r="H12" s="115" t="str">
        <f>IF(C12="-","",80)</f>
        <v/>
      </c>
      <c r="I12" s="115" t="str">
        <f>IF(C12="-","",I3-20)</f>
        <v/>
      </c>
      <c r="J12" s="114" t="str">
        <f t="shared" si="1"/>
        <v/>
      </c>
      <c r="K12" s="116" t="str">
        <f>IF(C12="-","",IF(F12&gt;=0,902,D12+E12-111))</f>
        <v/>
      </c>
    </row>
    <row r="13" spans="1:11" ht="30" customHeight="1" x14ac:dyDescent="0.45">
      <c r="A13" s="66" t="s">
        <v>48</v>
      </c>
      <c r="B13" s="67"/>
      <c r="C13" s="106"/>
      <c r="D13" s="106"/>
      <c r="E13" s="106"/>
      <c r="F13" s="106"/>
      <c r="G13" s="106"/>
      <c r="H13" s="106"/>
      <c r="I13" s="142" t="s">
        <v>49</v>
      </c>
      <c r="J13" s="142"/>
      <c r="K13" s="143"/>
    </row>
    <row r="14" spans="1:11" ht="30" customHeight="1" x14ac:dyDescent="0.35">
      <c r="A14" s="71"/>
      <c r="B14" s="106"/>
      <c r="C14" s="106"/>
      <c r="D14" s="106"/>
      <c r="E14" s="106"/>
      <c r="F14" s="106"/>
      <c r="G14" s="106"/>
      <c r="H14" s="106"/>
      <c r="I14" s="106"/>
      <c r="J14" s="106"/>
      <c r="K14" s="107"/>
    </row>
    <row r="15" spans="1:11" ht="30" customHeight="1" x14ac:dyDescent="0.35">
      <c r="A15" s="108"/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1" ht="30" customHeight="1" x14ac:dyDescent="0.35">
      <c r="A16" s="108"/>
      <c r="B16" s="106"/>
      <c r="C16" s="106"/>
      <c r="D16" s="106"/>
      <c r="E16" s="106"/>
      <c r="F16" s="106"/>
      <c r="G16" s="106"/>
      <c r="H16" s="106"/>
      <c r="I16" s="106"/>
      <c r="J16" s="106"/>
      <c r="K16" s="107"/>
    </row>
    <row r="17" spans="1:11" ht="30" customHeight="1" x14ac:dyDescent="0.35">
      <c r="A17" s="108"/>
      <c r="B17" s="106"/>
      <c r="C17" s="106"/>
      <c r="D17" s="106"/>
      <c r="E17" s="106"/>
      <c r="F17" s="106"/>
      <c r="G17" s="106"/>
      <c r="H17" s="106"/>
      <c r="I17" s="106"/>
      <c r="J17" s="106"/>
      <c r="K17" s="107"/>
    </row>
    <row r="18" spans="1:11" ht="30" customHeight="1" x14ac:dyDescent="0.35">
      <c r="A18" s="108"/>
      <c r="B18" s="106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ht="30" customHeight="1" x14ac:dyDescent="0.35">
      <c r="A19" s="108"/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ht="30" customHeight="1" x14ac:dyDescent="0.35">
      <c r="A20" s="108"/>
      <c r="B20" s="106"/>
      <c r="C20" s="106"/>
      <c r="D20" s="106"/>
      <c r="E20" s="106"/>
      <c r="F20" s="106"/>
      <c r="G20" s="106"/>
      <c r="H20" s="106"/>
      <c r="I20" s="106"/>
      <c r="J20" s="106"/>
      <c r="K20" s="107"/>
    </row>
    <row r="21" spans="1:11" ht="36" customHeight="1" x14ac:dyDescent="0.35">
      <c r="A21" s="136" t="s">
        <v>60</v>
      </c>
      <c r="B21" s="137"/>
      <c r="C21" s="109"/>
      <c r="D21" s="109"/>
      <c r="E21" s="109"/>
      <c r="F21" s="109"/>
      <c r="G21" s="109"/>
      <c r="H21" s="109"/>
      <c r="I21" s="109"/>
      <c r="J21" s="109"/>
      <c r="K21" s="110"/>
    </row>
    <row r="22" spans="1:11" ht="32.25" customHeight="1" x14ac:dyDescent="0.35">
      <c r="A22" s="144" t="s">
        <v>24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</row>
  </sheetData>
  <sheetProtection algorithmName="SHA-512" hashValue="wEIdD8CWFkU2oOCqxFbg46XBpWyNg6crDZJkRx3dpQJv+NN8/GZjGzSjl4l3nSGrkVXW6Emk9rY0ZBguxmirVA==" saltValue="KE8savlXGnPC+oawcj5G8Q==" spinCount="100000" sheet="1" objects="1" scenarios="1"/>
  <mergeCells count="5">
    <mergeCell ref="A6:B6"/>
    <mergeCell ref="C6:K6"/>
    <mergeCell ref="A22:K22"/>
    <mergeCell ref="A21:B21"/>
    <mergeCell ref="I13:K13"/>
  </mergeCells>
  <dataValidations count="1">
    <dataValidation allowBlank="1" showInputMessage="1" showErrorMessage="1" errorTitle="Errore valore LFM" error="Inserire un valore di Larghezza Foro Muro valido (tra 600 mm e 1.100 mm)" sqref="I3" xr:uid="{99D42275-5F52-4644-8C67-0A2116D44F30}"/>
  </dataValidations>
  <hyperlinks>
    <hyperlink ref="A21:B21" location="Menu!A1" display="  &lt;&lt; Torna al menu" xr:uid="{074E6319-6930-41A5-AF41-906CA5739AC4}"/>
    <hyperlink ref="I3" location="Menu!I3" display="Menu!I3" xr:uid="{020AD045-1B6C-420F-A845-69A7973AEA5D}"/>
  </hyperlink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D254-FD62-4B5F-A501-305ECEB4DEBE}">
  <dimension ref="A1:R22"/>
  <sheetViews>
    <sheetView zoomScaleNormal="100" workbookViewId="0">
      <pane ySplit="5" topLeftCell="A6" activePane="bottomLeft" state="frozen"/>
      <selection pane="bottomLeft" activeCell="N7" sqref="N7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1" width="15.54296875" style="41" customWidth="1"/>
    <col min="12" max="16384" width="8.81640625" style="41"/>
  </cols>
  <sheetData>
    <row r="1" spans="1:18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8" ht="30.75" customHeight="1" x14ac:dyDescent="0.35">
      <c r="A2" s="42"/>
      <c r="B2" s="43"/>
      <c r="C2" s="43"/>
      <c r="D2" s="44" t="s">
        <v>37</v>
      </c>
      <c r="E2" s="43"/>
      <c r="F2" s="43"/>
      <c r="G2" s="43"/>
      <c r="H2" s="43"/>
      <c r="I2" s="98" t="s">
        <v>39</v>
      </c>
      <c r="J2" s="46"/>
      <c r="K2" s="47"/>
    </row>
    <row r="3" spans="1:18" ht="22.5" customHeight="1" x14ac:dyDescent="0.35">
      <c r="A3" s="42"/>
      <c r="B3" s="48"/>
      <c r="C3" s="43"/>
      <c r="D3" s="49" t="s">
        <v>33</v>
      </c>
      <c r="E3" s="43"/>
      <c r="F3" s="43"/>
      <c r="G3" s="43"/>
      <c r="H3" s="50" t="s">
        <v>28</v>
      </c>
      <c r="I3" s="96">
        <f>Menu!I3</f>
        <v>0</v>
      </c>
      <c r="J3" s="51" t="s">
        <v>30</v>
      </c>
      <c r="K3" s="47"/>
    </row>
    <row r="4" spans="1:18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7"/>
    </row>
    <row r="5" spans="1:18" ht="5.25" customHeight="1" x14ac:dyDescent="0.35">
      <c r="A5" s="52"/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8" ht="25" customHeight="1" x14ac:dyDescent="0.35">
      <c r="A6" s="139" t="s">
        <v>47</v>
      </c>
      <c r="B6" s="140"/>
      <c r="C6" s="139" t="s">
        <v>66</v>
      </c>
      <c r="D6" s="141"/>
      <c r="E6" s="141"/>
      <c r="F6" s="141"/>
      <c r="G6" s="141"/>
      <c r="H6" s="141"/>
      <c r="I6" s="141"/>
      <c r="J6" s="141"/>
      <c r="K6" s="140"/>
    </row>
    <row r="7" spans="1:18" ht="45" customHeight="1" x14ac:dyDescent="0.35">
      <c r="A7" s="55" t="s">
        <v>41</v>
      </c>
      <c r="B7" s="56" t="s">
        <v>0</v>
      </c>
      <c r="C7" s="57" t="s">
        <v>61</v>
      </c>
      <c r="D7" s="58" t="s">
        <v>42</v>
      </c>
      <c r="E7" s="59" t="s">
        <v>43</v>
      </c>
      <c r="F7" s="59" t="s">
        <v>22</v>
      </c>
      <c r="G7" s="58" t="s">
        <v>44</v>
      </c>
      <c r="H7" s="58" t="s">
        <v>82</v>
      </c>
      <c r="I7" s="58" t="s">
        <v>45</v>
      </c>
      <c r="J7" s="58" t="s">
        <v>21</v>
      </c>
      <c r="K7" s="60" t="s">
        <v>64</v>
      </c>
    </row>
    <row r="8" spans="1:18" ht="30" customHeight="1" x14ac:dyDescent="0.35">
      <c r="A8" s="61" t="s">
        <v>1</v>
      </c>
      <c r="B8" s="62" t="s">
        <v>2</v>
      </c>
      <c r="C8" s="81" t="str">
        <f>IF(I3="","-",IF(I3&lt;1220,"-",IF(I3&gt;=1220,IF(I3&lt;=1720,"F60",IF(I3&gt;1720,"-")))))</f>
        <v>-</v>
      </c>
      <c r="D8" s="82" t="str">
        <f>IF(C8="-","",306.5)</f>
        <v/>
      </c>
      <c r="E8" s="83" t="str">
        <f>IF(C8="-","",(I3-707)/2)</f>
        <v/>
      </c>
      <c r="F8" s="84" t="str">
        <f>IF(C8="-","",E8-D8)</f>
        <v/>
      </c>
      <c r="G8" s="85" t="str">
        <f>IF(C8="-","",355)</f>
        <v/>
      </c>
      <c r="H8" s="85" t="str">
        <f>IF(C8="-","",250)</f>
        <v/>
      </c>
      <c r="I8" s="85" t="str">
        <f>IF(C8="-","",I3-23)</f>
        <v/>
      </c>
      <c r="J8" s="84" t="str">
        <f>IF(C8="-","",D8+E8+1)</f>
        <v/>
      </c>
      <c r="K8" s="86" t="str">
        <f>IF(C8="-","",IF(F8&gt;=0,1201,(D8+E8)*2-25))</f>
        <v/>
      </c>
    </row>
    <row r="9" spans="1:18" ht="30" customHeight="1" x14ac:dyDescent="0.35">
      <c r="A9" s="63" t="s">
        <v>3</v>
      </c>
      <c r="B9" s="64" t="s">
        <v>4</v>
      </c>
      <c r="C9" s="87" t="str">
        <f>IF(I3="","-",IF(I3&lt;1420,"-",IF(I3&gt;=1420,IF(I3&lt;=1920,"F70",IF(I3&gt;1920,"-")))))</f>
        <v>-</v>
      </c>
      <c r="D9" s="88" t="str">
        <f>IF(C9="-","",356.5)</f>
        <v/>
      </c>
      <c r="E9" s="89" t="str">
        <f>IF(C9="-","",(I3-807)/2)</f>
        <v/>
      </c>
      <c r="F9" s="90" t="str">
        <f>IF(C9="-","",E9-D9)</f>
        <v/>
      </c>
      <c r="G9" s="91" t="str">
        <f>IF(C9="-","",405)</f>
        <v/>
      </c>
      <c r="H9" s="91" t="str">
        <f>IF(C9="-","",300)</f>
        <v/>
      </c>
      <c r="I9" s="91" t="str">
        <f>IF(C9="-","",I3-23)</f>
        <v/>
      </c>
      <c r="J9" s="90" t="str">
        <f t="shared" ref="J9:J12" si="0">IF(C9="-","",D9+E9+1)</f>
        <v/>
      </c>
      <c r="K9" s="92" t="str">
        <f>IF(C9="-","",IF(F9&gt;=0,1401,(D9+E9)*2-25))</f>
        <v/>
      </c>
    </row>
    <row r="10" spans="1:18" ht="30" customHeight="1" x14ac:dyDescent="0.35">
      <c r="A10" s="61" t="s">
        <v>5</v>
      </c>
      <c r="B10" s="62" t="s">
        <v>8</v>
      </c>
      <c r="C10" s="81" t="str">
        <f>IF(I3="","-",IF(I3&lt;1620,"-",IF(I3&gt;=1620,IF(I3&lt;=2120,"A80",IF(I3&gt;2120,"-")))))</f>
        <v>-</v>
      </c>
      <c r="D10" s="82" t="str">
        <f>IF(C10="-","",406.5)</f>
        <v/>
      </c>
      <c r="E10" s="83" t="str">
        <f>IF(C10="-","",(I3-907)/2)</f>
        <v/>
      </c>
      <c r="F10" s="84" t="str">
        <f>IF(C10="-","",E10-D10)</f>
        <v/>
      </c>
      <c r="G10" s="85" t="str">
        <f>IF(C10="-","",455)</f>
        <v/>
      </c>
      <c r="H10" s="85" t="str">
        <f>IF(C10="-","",350)</f>
        <v/>
      </c>
      <c r="I10" s="85" t="str">
        <f>IF(C10="-","",I3-23)</f>
        <v/>
      </c>
      <c r="J10" s="84" t="str">
        <f t="shared" si="0"/>
        <v/>
      </c>
      <c r="K10" s="86" t="str">
        <f>IF(C10="-","",IF(F10&gt;=0,1601,(D10+E10)*2-25))</f>
        <v/>
      </c>
    </row>
    <row r="11" spans="1:18" ht="30" customHeight="1" x14ac:dyDescent="0.35">
      <c r="A11" s="63" t="s">
        <v>6</v>
      </c>
      <c r="B11" s="64" t="s">
        <v>9</v>
      </c>
      <c r="C11" s="87" t="str">
        <f>IF(I3="","-",IF(I3&lt;1820,"-",IF(I3&gt;=1820,IF(I3&lt;=2320,"B90",IF(I3&gt;2320,"-")))))</f>
        <v>-</v>
      </c>
      <c r="D11" s="88" t="str">
        <f>IF(C11="-","",456.5)</f>
        <v/>
      </c>
      <c r="E11" s="89" t="str">
        <f>IF(C11="-","",(I3-1007)/2)</f>
        <v/>
      </c>
      <c r="F11" s="90" t="str">
        <f t="shared" ref="F11:F12" si="1">IF(C11="-","",E11-D11)</f>
        <v/>
      </c>
      <c r="G11" s="91" t="str">
        <f>IF(C11="-","",505)</f>
        <v/>
      </c>
      <c r="H11" s="91" t="str">
        <f>IF(C11="-","",400)</f>
        <v/>
      </c>
      <c r="I11" s="91" t="str">
        <f>IF(C11="-","",I3-23)</f>
        <v/>
      </c>
      <c r="J11" s="90" t="str">
        <f t="shared" si="0"/>
        <v/>
      </c>
      <c r="K11" s="92" t="str">
        <f>IF(C11="-","",IF(F11&gt;=0,1801,(D11+E11)*2-25))</f>
        <v/>
      </c>
    </row>
    <row r="12" spans="1:18" ht="30" customHeight="1" x14ac:dyDescent="0.35">
      <c r="A12" s="65" t="s">
        <v>7</v>
      </c>
      <c r="B12" s="62" t="s">
        <v>10</v>
      </c>
      <c r="C12" s="81" t="str">
        <f>IF(I3="","-",IF(I3&lt;2020,"-",IF(I3&gt;=2020,IF(I3&lt;=2520,"B100",IF(I3&gt;2520,"-")))))</f>
        <v>-</v>
      </c>
      <c r="D12" s="82" t="str">
        <f>IF(C12="-","",506.5)</f>
        <v/>
      </c>
      <c r="E12" s="83" t="str">
        <f>IF(C12="-","",(I3-1107)/2)</f>
        <v/>
      </c>
      <c r="F12" s="84" t="str">
        <f t="shared" si="1"/>
        <v/>
      </c>
      <c r="G12" s="85" t="str">
        <f>IF(C12="-","",555)</f>
        <v/>
      </c>
      <c r="H12" s="85" t="str">
        <f>IF(C12="-","",450)</f>
        <v/>
      </c>
      <c r="I12" s="85" t="str">
        <f>IF(C12="-","",I3-23)</f>
        <v/>
      </c>
      <c r="J12" s="84" t="str">
        <f t="shared" si="0"/>
        <v/>
      </c>
      <c r="K12" s="86" t="str">
        <f>IF(C12="-","",IF(F12&gt;=0,2001,(D12+E12)*2-25))</f>
        <v/>
      </c>
    </row>
    <row r="13" spans="1:18" ht="30" customHeight="1" x14ac:dyDescent="0.45">
      <c r="A13" s="66" t="s">
        <v>73</v>
      </c>
      <c r="B13" s="67"/>
      <c r="C13" s="68"/>
      <c r="D13" s="68"/>
      <c r="E13" s="69"/>
      <c r="F13" s="70"/>
      <c r="G13" s="70"/>
      <c r="H13" s="70"/>
      <c r="I13" s="142" t="s">
        <v>49</v>
      </c>
      <c r="J13" s="142"/>
      <c r="K13" s="143"/>
      <c r="L13" s="53"/>
      <c r="M13" s="53"/>
      <c r="N13" s="53"/>
      <c r="O13" s="53"/>
      <c r="P13" s="53"/>
      <c r="Q13" s="53"/>
      <c r="R13" s="53"/>
    </row>
    <row r="14" spans="1:18" ht="30" customHeight="1" x14ac:dyDescent="0.35">
      <c r="A14" s="117" t="s">
        <v>76</v>
      </c>
      <c r="B14" s="72"/>
      <c r="C14" s="73"/>
      <c r="D14" s="73"/>
      <c r="E14" s="74"/>
      <c r="F14" s="75"/>
      <c r="G14" s="75"/>
      <c r="H14" s="75"/>
      <c r="I14" s="75"/>
      <c r="J14" s="118"/>
      <c r="K14" s="119"/>
    </row>
    <row r="15" spans="1:18" ht="30" customHeight="1" x14ac:dyDescent="0.35">
      <c r="A15" s="71"/>
      <c r="B15" s="72"/>
      <c r="C15" s="73"/>
      <c r="D15" s="73"/>
      <c r="E15" s="74"/>
      <c r="F15" s="75"/>
      <c r="G15" s="75"/>
      <c r="H15" s="75"/>
      <c r="I15" s="75"/>
      <c r="J15" s="118"/>
      <c r="K15" s="119"/>
    </row>
    <row r="16" spans="1:18" ht="30" customHeight="1" x14ac:dyDescent="0.35">
      <c r="A16" s="71"/>
      <c r="B16" s="72"/>
      <c r="C16" s="73"/>
      <c r="D16" s="73"/>
      <c r="E16" s="74"/>
      <c r="F16" s="75"/>
      <c r="G16" s="75"/>
      <c r="H16" s="75"/>
      <c r="I16" s="75"/>
      <c r="J16" s="118"/>
      <c r="K16" s="119"/>
    </row>
    <row r="17" spans="1:11" ht="30" customHeight="1" x14ac:dyDescent="0.35">
      <c r="A17" s="71"/>
      <c r="B17" s="72"/>
      <c r="C17" s="73"/>
      <c r="D17" s="73"/>
      <c r="E17" s="74"/>
      <c r="F17" s="75"/>
      <c r="G17" s="75"/>
      <c r="H17" s="75"/>
      <c r="I17" s="75"/>
      <c r="J17" s="118"/>
      <c r="K17" s="119"/>
    </row>
    <row r="18" spans="1:11" ht="30" customHeight="1" x14ac:dyDescent="0.35">
      <c r="A18" s="71"/>
      <c r="B18" s="72"/>
      <c r="C18" s="73"/>
      <c r="D18" s="73"/>
      <c r="E18" s="74"/>
      <c r="F18" s="75"/>
      <c r="G18" s="75"/>
      <c r="H18" s="75"/>
      <c r="I18" s="75"/>
      <c r="J18" s="118"/>
      <c r="K18" s="119"/>
    </row>
    <row r="19" spans="1:11" ht="30" customHeight="1" x14ac:dyDescent="0.35">
      <c r="A19" s="71"/>
      <c r="B19" s="72"/>
      <c r="C19" s="73"/>
      <c r="D19" s="73"/>
      <c r="E19" s="74"/>
      <c r="F19" s="75"/>
      <c r="G19" s="75"/>
      <c r="H19" s="75"/>
      <c r="I19" s="75"/>
      <c r="J19" s="118"/>
      <c r="K19" s="119"/>
    </row>
    <row r="20" spans="1:11" ht="30" customHeight="1" x14ac:dyDescent="0.35">
      <c r="A20" s="71"/>
      <c r="B20" s="72"/>
      <c r="C20" s="73"/>
      <c r="D20" s="73"/>
      <c r="E20" s="74"/>
      <c r="F20" s="75"/>
      <c r="G20" s="75"/>
      <c r="H20" s="75"/>
      <c r="I20" s="75"/>
      <c r="J20" s="118"/>
      <c r="K20" s="119"/>
    </row>
    <row r="21" spans="1:11" ht="36" customHeight="1" x14ac:dyDescent="0.35">
      <c r="A21" s="136" t="s">
        <v>60</v>
      </c>
      <c r="B21" s="137"/>
      <c r="C21" s="77"/>
      <c r="D21" s="77"/>
      <c r="E21" s="78"/>
      <c r="F21" s="79"/>
      <c r="G21" s="79"/>
      <c r="H21" s="79"/>
      <c r="I21" s="79"/>
      <c r="J21" s="120"/>
      <c r="K21" s="121"/>
    </row>
    <row r="22" spans="1:11" ht="32.25" customHeight="1" x14ac:dyDescent="0.35">
      <c r="A22" s="144" t="s">
        <v>24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</row>
  </sheetData>
  <sheetProtection algorithmName="SHA-512" hashValue="CJyJyfX2JN77xSAIzwbpw5h/xg5kgnxHG0Fbi43X3KXB88j5aSU1iph5rfl38lsYF1BDpFXi2O8N3OYzRK9CGg==" saltValue="JkR0c6J5AfLY5Bw1i/BHmg==" spinCount="100000" sheet="1" objects="1" scenarios="1"/>
  <mergeCells count="5">
    <mergeCell ref="A22:K22"/>
    <mergeCell ref="A6:B6"/>
    <mergeCell ref="C6:K6"/>
    <mergeCell ref="A21:B21"/>
    <mergeCell ref="I13:K13"/>
  </mergeCells>
  <dataValidations count="1">
    <dataValidation allowBlank="1" showInputMessage="1" showErrorMessage="1" errorTitle="Errore valore LFM" error="Inserire un valore di Larghezza Foro Muro valido (tra 1.220 mm e 2.520 mm)" sqref="I3" xr:uid="{00494E49-4114-4DD8-B5B2-8261BCB7FFBA}"/>
  </dataValidations>
  <hyperlinks>
    <hyperlink ref="A21:B21" location="Menu!A1" display="  &lt;&lt; Torna al menu" xr:uid="{FAFED3EA-7196-49C9-9D39-A58148EF6906}"/>
    <hyperlink ref="A14" r:id="rId1" display="Push@go per gestione sblocco anta secondaria" xr:uid="{F5FD194C-BB54-4E84-8C3B-0E3D4463D683}"/>
    <hyperlink ref="I3" location="Menu!I3" display="Menu!I3" xr:uid="{49F91581-71DD-4ABE-BEC4-AFED457A6211}"/>
  </hyperlinks>
  <pageMargins left="0.7" right="0.7" top="0.75" bottom="0.75" header="0.3" footer="0.3"/>
  <pageSetup paperSize="9" scale="7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pane ySplit="5" topLeftCell="A6" activePane="bottomLeft" state="frozen"/>
      <selection pane="bottomLeft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1" width="15.54296875" style="41" customWidth="1"/>
    <col min="12" max="16384" width="8.81640625" style="41"/>
  </cols>
  <sheetData>
    <row r="1" spans="1:11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30.75" customHeight="1" x14ac:dyDescent="0.35">
      <c r="A2" s="42"/>
      <c r="B2" s="43"/>
      <c r="C2" s="43"/>
      <c r="D2" s="44" t="s">
        <v>37</v>
      </c>
      <c r="E2" s="43"/>
      <c r="F2" s="43"/>
      <c r="G2" s="43"/>
      <c r="H2" s="43"/>
      <c r="I2" s="98" t="s">
        <v>39</v>
      </c>
      <c r="J2" s="46"/>
      <c r="K2" s="47"/>
    </row>
    <row r="3" spans="1:11" ht="22.5" customHeight="1" x14ac:dyDescent="0.35">
      <c r="A3" s="42"/>
      <c r="B3" s="48"/>
      <c r="C3" s="43"/>
      <c r="D3" s="49" t="s">
        <v>74</v>
      </c>
      <c r="E3" s="43"/>
      <c r="F3" s="43"/>
      <c r="G3" s="43"/>
      <c r="H3" s="50" t="s">
        <v>36</v>
      </c>
      <c r="I3" s="96">
        <f>Menu!I3</f>
        <v>0</v>
      </c>
      <c r="J3" s="51" t="s">
        <v>29</v>
      </c>
      <c r="K3" s="47"/>
    </row>
    <row r="4" spans="1:11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7"/>
    </row>
    <row r="5" spans="1:11" ht="5.25" customHeight="1" x14ac:dyDescent="0.35">
      <c r="A5" s="52"/>
      <c r="B5" s="53"/>
      <c r="C5" s="104"/>
      <c r="D5" s="105"/>
      <c r="E5" s="53"/>
      <c r="F5" s="53"/>
      <c r="G5" s="53"/>
      <c r="H5" s="53"/>
      <c r="I5" s="53"/>
      <c r="J5" s="53"/>
      <c r="K5" s="54"/>
    </row>
    <row r="6" spans="1:11" ht="25" customHeight="1" x14ac:dyDescent="0.35">
      <c r="A6" s="139" t="s">
        <v>47</v>
      </c>
      <c r="B6" s="140"/>
      <c r="C6" s="139" t="s">
        <v>75</v>
      </c>
      <c r="D6" s="141"/>
      <c r="E6" s="141"/>
      <c r="F6" s="141"/>
      <c r="G6" s="141"/>
      <c r="H6" s="141"/>
      <c r="I6" s="141"/>
      <c r="J6" s="141"/>
      <c r="K6" s="140"/>
    </row>
    <row r="7" spans="1:11" ht="45" customHeight="1" x14ac:dyDescent="0.35">
      <c r="A7" s="55" t="s">
        <v>41</v>
      </c>
      <c r="B7" s="56" t="s">
        <v>0</v>
      </c>
      <c r="C7" s="57" t="s">
        <v>61</v>
      </c>
      <c r="D7" s="58" t="s">
        <v>42</v>
      </c>
      <c r="E7" s="59" t="s">
        <v>43</v>
      </c>
      <c r="F7" s="59" t="s">
        <v>22</v>
      </c>
      <c r="G7" s="58" t="s">
        <v>44</v>
      </c>
      <c r="H7" s="58" t="s">
        <v>82</v>
      </c>
      <c r="I7" s="58" t="s">
        <v>45</v>
      </c>
      <c r="J7" s="58" t="s">
        <v>21</v>
      </c>
      <c r="K7" s="60" t="s">
        <v>64</v>
      </c>
    </row>
    <row r="8" spans="1:11" ht="30" customHeight="1" x14ac:dyDescent="0.35">
      <c r="A8" s="61" t="s">
        <v>11</v>
      </c>
      <c r="B8" s="62" t="s">
        <v>16</v>
      </c>
      <c r="C8" s="81" t="str">
        <f>IF(I3="","-",IF(I3&lt;1120,"-",IF(I3&gt;=1120,IF(I3&lt;=1320,"F60",IF(I3&gt;1320,"-")))))</f>
        <v>-</v>
      </c>
      <c r="D8" s="82" t="str">
        <f>IF(C8="-","",306.5)</f>
        <v/>
      </c>
      <c r="E8" s="83" t="str">
        <f>IF(C8="-","",(I3-707)/2)</f>
        <v/>
      </c>
      <c r="F8" s="84" t="str">
        <f>IF(C8="-","",E8-D8)</f>
        <v/>
      </c>
      <c r="G8" s="85" t="str">
        <f>IF(C8="-","",347)</f>
        <v/>
      </c>
      <c r="H8" s="85" t="str">
        <f>IF(C8="-","",15)</f>
        <v/>
      </c>
      <c r="I8" s="85" t="str">
        <f>IF(C8="-","",I3-23)</f>
        <v/>
      </c>
      <c r="J8" s="84" t="str">
        <f>IF(C8="-","",D8+E8+1)</f>
        <v/>
      </c>
      <c r="K8" s="86" t="str">
        <f>IF(C8="-","",IF(F8&gt;=0,1024,(D8+E8)*2-202))</f>
        <v/>
      </c>
    </row>
    <row r="9" spans="1:11" ht="30" customHeight="1" x14ac:dyDescent="0.35">
      <c r="A9" s="63" t="s">
        <v>12</v>
      </c>
      <c r="B9" s="64" t="s">
        <v>17</v>
      </c>
      <c r="C9" s="87" t="str">
        <f>IF(I3="","-",IF(I3&lt;1320,"-",IF(I3&gt;=1320,IF(I3&lt;=1520,"F70",IF(I3&gt;1520,"-")))))</f>
        <v>-</v>
      </c>
      <c r="D9" s="88" t="str">
        <f>IF(C9="-","",356.5)</f>
        <v/>
      </c>
      <c r="E9" s="89" t="str">
        <f>IF(C9="-","",(I3-807)/2)</f>
        <v/>
      </c>
      <c r="F9" s="90" t="str">
        <f t="shared" ref="F9:F12" si="0">IF(C9="-","",E9-D9)</f>
        <v/>
      </c>
      <c r="G9" s="91" t="str">
        <f>IF(C9="-","",397)</f>
        <v/>
      </c>
      <c r="H9" s="91" t="str">
        <f>IF(C9="-","",0)</f>
        <v/>
      </c>
      <c r="I9" s="91" t="str">
        <f>IF(C9="-","",I3-23)</f>
        <v/>
      </c>
      <c r="J9" s="90" t="str">
        <f t="shared" ref="J9:J12" si="1">IF(C9="-","",D9+E9+1)</f>
        <v/>
      </c>
      <c r="K9" s="92" t="str">
        <f>IF(C9="-","",IF(F9&gt;=0,1224,(D9+E9)*2-202))</f>
        <v/>
      </c>
    </row>
    <row r="10" spans="1:11" ht="30" customHeight="1" x14ac:dyDescent="0.35">
      <c r="A10" s="61" t="s">
        <v>13</v>
      </c>
      <c r="B10" s="62" t="s">
        <v>18</v>
      </c>
      <c r="C10" s="81" t="str">
        <f>IF(I3="","-",IF(I3&lt;1520,"-",IF(I3&gt;=1520,IF(I3&lt;=1720,"A80",IF(I3&gt;1720,"-")))))</f>
        <v>-</v>
      </c>
      <c r="D10" s="82" t="str">
        <f>IF(C10="-","",406.5)</f>
        <v/>
      </c>
      <c r="E10" s="83" t="str">
        <f>IF(C10="-","",(I3-907)/2)</f>
        <v/>
      </c>
      <c r="F10" s="84" t="str">
        <f t="shared" si="0"/>
        <v/>
      </c>
      <c r="G10" s="85" t="str">
        <f>IF(C10="-","",447)</f>
        <v/>
      </c>
      <c r="H10" s="85" t="str">
        <f>IF(C10="-","",20)</f>
        <v/>
      </c>
      <c r="I10" s="85" t="str">
        <f>IF(C10="-","",I3-23)</f>
        <v/>
      </c>
      <c r="J10" s="84" t="str">
        <f t="shared" si="1"/>
        <v/>
      </c>
      <c r="K10" s="86" t="str">
        <f>IF(C10="-","",IF(F10&gt;=0,1424,(D10+E10)*2-202))</f>
        <v/>
      </c>
    </row>
    <row r="11" spans="1:11" ht="30" customHeight="1" x14ac:dyDescent="0.35">
      <c r="A11" s="63" t="s">
        <v>14</v>
      </c>
      <c r="B11" s="64" t="s">
        <v>19</v>
      </c>
      <c r="C11" s="87" t="str">
        <f>IF(I3="","-",IF(I3&lt;1720,"-",IF(I3&gt;=1720,IF(I3&lt;=1920,"B90",IF(I3&gt;1920,"-")))))</f>
        <v>-</v>
      </c>
      <c r="D11" s="88" t="str">
        <f>IF(C11="-","",456.5)</f>
        <v/>
      </c>
      <c r="E11" s="89" t="str">
        <f>IF(C11="-","",(I3-1007)/2)</f>
        <v/>
      </c>
      <c r="F11" s="90" t="str">
        <f t="shared" si="0"/>
        <v/>
      </c>
      <c r="G11" s="91" t="str">
        <f>IF(C11="-","",497)</f>
        <v/>
      </c>
      <c r="H11" s="91" t="str">
        <f>IF(C11="-","",110)</f>
        <v/>
      </c>
      <c r="I11" s="91" t="str">
        <f>IF(C11="-","",I3-23)</f>
        <v/>
      </c>
      <c r="J11" s="90" t="str">
        <f t="shared" si="1"/>
        <v/>
      </c>
      <c r="K11" s="92" t="str">
        <f>IF(C11="-","",IF(F11&gt;=0,1624,(D11+E11)*2-202))</f>
        <v/>
      </c>
    </row>
    <row r="12" spans="1:11" ht="30" customHeight="1" x14ac:dyDescent="0.35">
      <c r="A12" s="65" t="s">
        <v>15</v>
      </c>
      <c r="B12" s="62" t="s">
        <v>20</v>
      </c>
      <c r="C12" s="81" t="str">
        <f>IF(I3="","-",IF(I3&lt;1920,"-",IF(I3&gt;=1920,IF(I3&lt;=2120,"B100",IF(I3&gt;2120,"-")))))</f>
        <v>-</v>
      </c>
      <c r="D12" s="82" t="str">
        <f>IF(C12="-","",506.5)</f>
        <v/>
      </c>
      <c r="E12" s="83" t="str">
        <f>IF(C12="-","",(I3-1107)/2)</f>
        <v/>
      </c>
      <c r="F12" s="84" t="str">
        <f t="shared" si="0"/>
        <v/>
      </c>
      <c r="G12" s="85" t="str">
        <f>IF(C12="-","",547)</f>
        <v/>
      </c>
      <c r="H12" s="85" t="str">
        <f>IF(C12="-","",80)</f>
        <v/>
      </c>
      <c r="I12" s="85" t="str">
        <f>IF(C12="-","",I3-23)</f>
        <v/>
      </c>
      <c r="J12" s="84" t="str">
        <f t="shared" si="1"/>
        <v/>
      </c>
      <c r="K12" s="86" t="str">
        <f>IF(C12="-","",IF(F12&gt;=0,1824,(D12+E12)*2-202))</f>
        <v/>
      </c>
    </row>
    <row r="13" spans="1:11" ht="30" customHeight="1" x14ac:dyDescent="0.45">
      <c r="A13" s="66" t="s">
        <v>73</v>
      </c>
      <c r="B13" s="67"/>
      <c r="C13" s="68"/>
      <c r="D13" s="68"/>
      <c r="E13" s="69"/>
      <c r="F13" s="70"/>
      <c r="G13" s="70"/>
      <c r="H13" s="70"/>
      <c r="I13" s="142" t="s">
        <v>49</v>
      </c>
      <c r="J13" s="142"/>
      <c r="K13" s="143"/>
    </row>
    <row r="14" spans="1:11" ht="30" customHeight="1" x14ac:dyDescent="0.35">
      <c r="A14" s="117" t="s">
        <v>76</v>
      </c>
      <c r="B14" s="72"/>
      <c r="C14" s="73"/>
      <c r="D14" s="73"/>
      <c r="E14" s="74"/>
      <c r="F14" s="75"/>
      <c r="G14" s="75"/>
      <c r="H14" s="75"/>
      <c r="I14" s="75"/>
      <c r="J14" s="118"/>
      <c r="K14" s="119"/>
    </row>
    <row r="15" spans="1:11" ht="30" customHeight="1" x14ac:dyDescent="0.35">
      <c r="A15" s="108"/>
      <c r="B15" s="106"/>
      <c r="C15" s="106"/>
      <c r="D15" s="122"/>
      <c r="E15" s="106"/>
      <c r="F15" s="106"/>
      <c r="G15" s="106"/>
      <c r="H15" s="106"/>
      <c r="I15" s="106"/>
      <c r="J15" s="106"/>
      <c r="K15" s="107"/>
    </row>
    <row r="16" spans="1:11" ht="30" customHeight="1" x14ac:dyDescent="0.35">
      <c r="A16" s="108"/>
      <c r="B16" s="106"/>
      <c r="C16" s="106"/>
      <c r="D16" s="106"/>
      <c r="E16" s="106"/>
      <c r="F16" s="106"/>
      <c r="G16" s="106"/>
      <c r="H16" s="106"/>
      <c r="I16" s="106"/>
      <c r="J16" s="106"/>
      <c r="K16" s="107"/>
    </row>
    <row r="17" spans="1:11" ht="30" customHeight="1" x14ac:dyDescent="0.35">
      <c r="A17" s="108"/>
      <c r="B17" s="106"/>
      <c r="C17" s="106"/>
      <c r="D17" s="106"/>
      <c r="E17" s="106"/>
      <c r="F17" s="106"/>
      <c r="G17" s="106"/>
      <c r="H17" s="106"/>
      <c r="I17" s="106"/>
      <c r="J17" s="106"/>
      <c r="K17" s="107"/>
    </row>
    <row r="18" spans="1:11" ht="30" customHeight="1" x14ac:dyDescent="0.35">
      <c r="A18" s="108"/>
      <c r="B18" s="106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ht="30" customHeight="1" x14ac:dyDescent="0.35">
      <c r="A19" s="108"/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ht="30" customHeight="1" x14ac:dyDescent="0.35">
      <c r="A20" s="108"/>
      <c r="B20" s="106"/>
      <c r="C20" s="106"/>
      <c r="D20" s="106"/>
      <c r="E20" s="106"/>
      <c r="F20" s="106"/>
      <c r="G20" s="106"/>
      <c r="H20" s="106"/>
      <c r="I20" s="106"/>
      <c r="J20" s="106"/>
      <c r="K20" s="107"/>
    </row>
    <row r="21" spans="1:11" ht="36" customHeight="1" x14ac:dyDescent="0.35">
      <c r="A21" s="136" t="s">
        <v>60</v>
      </c>
      <c r="B21" s="137"/>
      <c r="C21" s="109"/>
      <c r="D21" s="109"/>
      <c r="E21" s="109"/>
      <c r="F21" s="109"/>
      <c r="G21" s="109"/>
      <c r="H21" s="109"/>
      <c r="I21" s="109"/>
      <c r="J21" s="109"/>
      <c r="K21" s="110"/>
    </row>
    <row r="22" spans="1:11" ht="32.25" customHeight="1" x14ac:dyDescent="0.35">
      <c r="A22" s="144" t="s">
        <v>24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</row>
  </sheetData>
  <sheetProtection algorithmName="SHA-512" hashValue="a1Z54bT0krtW/Jkw+8Yxm6qNZhKQ6kdBX12kz6VAOLhw35hP4/4JxPcKYt1JjqkgieFxgU0D8GTNEx86kPqXKA==" saltValue="RksIKWDiOYK60hYF7Kt2Zw==" spinCount="100000" sheet="1" objects="1" scenarios="1"/>
  <mergeCells count="5">
    <mergeCell ref="A6:B6"/>
    <mergeCell ref="C6:K6"/>
    <mergeCell ref="A21:B21"/>
    <mergeCell ref="A22:K22"/>
    <mergeCell ref="I13:K13"/>
  </mergeCells>
  <dataValidations count="1">
    <dataValidation allowBlank="1" showInputMessage="1" showErrorMessage="1" errorTitle="Errore valore LFM" error="Inserire un valore di Larghezza Foro Muro valido (tra 1.120 mm e 2.120 mm)" sqref="I3" xr:uid="{EB27482D-33E4-4580-B02A-E934F5AD8FC5}"/>
  </dataValidations>
  <hyperlinks>
    <hyperlink ref="A21:B21" location="Menu!A1" display="  &lt;&lt; Torna al menu" xr:uid="{CCCD4C59-8092-4FC8-B4A3-EA99B7316CF6}"/>
    <hyperlink ref="A14" r:id="rId1" display="Push@go per gestione sblocco anta secondaria" xr:uid="{02F9A5B4-6AD1-4979-9F6D-DB9AA22F42FA}"/>
    <hyperlink ref="I3" location="Menu!I3" display="Menu!I3" xr:uid="{A13A9CC2-7120-474D-80D1-81CE659D1E7D}"/>
  </hyperlinks>
  <pageMargins left="0.7" right="0.7" top="0.75" bottom="0.75" header="0.3" footer="0.3"/>
  <pageSetup paperSize="9" scale="7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6"/>
  <sheetViews>
    <sheetView workbookViewId="0">
      <pane ySplit="5" topLeftCell="A6" activePane="bottomLeft" state="frozen"/>
      <selection pane="bottomLeft" activeCell="E18" sqref="E18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2" width="15.54296875" style="41" customWidth="1"/>
    <col min="13" max="16384" width="8.81640625" style="41"/>
  </cols>
  <sheetData>
    <row r="1" spans="1:12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30.75" customHeight="1" x14ac:dyDescent="0.35">
      <c r="A2" s="42"/>
      <c r="B2" s="43"/>
      <c r="C2" s="43"/>
      <c r="D2" s="44" t="s">
        <v>37</v>
      </c>
      <c r="E2" s="43"/>
      <c r="F2" s="43"/>
      <c r="G2" s="43"/>
      <c r="H2" s="43"/>
      <c r="I2" s="98" t="s">
        <v>39</v>
      </c>
      <c r="J2" s="46"/>
      <c r="K2" s="43"/>
      <c r="L2" s="47"/>
    </row>
    <row r="3" spans="1:12" ht="22.5" customHeight="1" x14ac:dyDescent="0.35">
      <c r="A3" s="42"/>
      <c r="B3" s="48"/>
      <c r="C3" s="43"/>
      <c r="D3" s="49" t="s">
        <v>38</v>
      </c>
      <c r="E3" s="43"/>
      <c r="F3" s="43"/>
      <c r="G3" s="43"/>
      <c r="H3" s="50" t="s">
        <v>34</v>
      </c>
      <c r="I3" s="96">
        <f>Menu!I3</f>
        <v>0</v>
      </c>
      <c r="J3" s="51" t="s">
        <v>91</v>
      </c>
      <c r="K3" s="43"/>
      <c r="L3" s="47"/>
    </row>
    <row r="4" spans="1:12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7"/>
    </row>
    <row r="5" spans="1:12" ht="5.25" customHeight="1" x14ac:dyDescent="0.35">
      <c r="A5" s="52"/>
      <c r="B5" s="53"/>
      <c r="C5" s="123"/>
      <c r="D5" s="123"/>
      <c r="E5" s="123"/>
      <c r="F5" s="53"/>
      <c r="G5" s="53"/>
      <c r="H5" s="53"/>
      <c r="I5" s="53"/>
      <c r="J5" s="53"/>
      <c r="K5" s="53"/>
      <c r="L5" s="54"/>
    </row>
    <row r="6" spans="1:12" ht="25" customHeight="1" x14ac:dyDescent="0.35">
      <c r="A6" s="139" t="s">
        <v>47</v>
      </c>
      <c r="B6" s="140"/>
      <c r="C6" s="139" t="s">
        <v>89</v>
      </c>
      <c r="D6" s="141"/>
      <c r="E6" s="141"/>
      <c r="F6" s="141"/>
      <c r="G6" s="141"/>
      <c r="H6" s="141"/>
      <c r="I6" s="141"/>
      <c r="J6" s="141"/>
      <c r="K6" s="141"/>
      <c r="L6" s="140"/>
    </row>
    <row r="7" spans="1:12" ht="45" customHeight="1" x14ac:dyDescent="0.35">
      <c r="A7" s="55" t="s">
        <v>41</v>
      </c>
      <c r="B7" s="56" t="s">
        <v>0</v>
      </c>
      <c r="C7" s="57" t="s">
        <v>61</v>
      </c>
      <c r="D7" s="58" t="s">
        <v>77</v>
      </c>
      <c r="E7" s="59" t="s">
        <v>83</v>
      </c>
      <c r="F7" s="59" t="s">
        <v>78</v>
      </c>
      <c r="G7" s="58" t="s">
        <v>22</v>
      </c>
      <c r="H7" s="58" t="s">
        <v>44</v>
      </c>
      <c r="I7" s="58" t="s">
        <v>82</v>
      </c>
      <c r="J7" s="58" t="s">
        <v>45</v>
      </c>
      <c r="K7" s="58" t="s">
        <v>86</v>
      </c>
      <c r="L7" s="60" t="s">
        <v>85</v>
      </c>
    </row>
    <row r="8" spans="1:12" ht="30" customHeight="1" x14ac:dyDescent="0.35">
      <c r="A8" s="61" t="s">
        <v>1</v>
      </c>
      <c r="B8" s="62" t="s">
        <v>2</v>
      </c>
      <c r="C8" s="81" t="str">
        <f>IF(I3=1010,"F60","-")</f>
        <v>-</v>
      </c>
      <c r="D8" s="82" t="str">
        <f>IF(C8="-","",306.5)</f>
        <v/>
      </c>
      <c r="E8" s="83" t="str">
        <f>IF(C8="-","",(($I$3-(D8*2)-22.5-60-2-6)))</f>
        <v/>
      </c>
      <c r="F8" s="83" t="str">
        <f>IF(C8="-","",(($I$3-(D8*2)-22.5-60-2-6)))</f>
        <v/>
      </c>
      <c r="G8" s="85" t="str">
        <f>IF(C8="-","",0)</f>
        <v/>
      </c>
      <c r="H8" s="85" t="str">
        <f>IF(C8="-","",400)</f>
        <v/>
      </c>
      <c r="I8" s="85" t="str">
        <f>IF(C8="-","",250)</f>
        <v/>
      </c>
      <c r="J8" s="84" t="str">
        <f>IF(C8="-","",$I$3-22)</f>
        <v/>
      </c>
      <c r="K8" s="83" t="str">
        <f>IF(C8="-","",D8+E8+F8+2)</f>
        <v/>
      </c>
      <c r="L8" s="86" t="str">
        <f>IF(C8="-","",J8-88)</f>
        <v/>
      </c>
    </row>
    <row r="9" spans="1:12" ht="30" customHeight="1" x14ac:dyDescent="0.35">
      <c r="A9" s="63" t="s">
        <v>3</v>
      </c>
      <c r="B9" s="64" t="s">
        <v>4</v>
      </c>
      <c r="C9" s="87" t="str">
        <f>IF(I3=1160,"F70","-")</f>
        <v>-</v>
      </c>
      <c r="D9" s="88" t="str">
        <f>IF(C9="-","",356.5)</f>
        <v/>
      </c>
      <c r="E9" s="89" t="str">
        <f>IF(C9="-","",(($I$3-(D9*2)-22.5-60-2-6)))</f>
        <v/>
      </c>
      <c r="F9" s="89" t="str">
        <f>IF(C9="-","",(($I$3-(D9*2)-22.5-60-2-6)))</f>
        <v/>
      </c>
      <c r="G9" s="91" t="str">
        <f t="shared" ref="G9:G11" si="0">IF(C9="-","",0)</f>
        <v/>
      </c>
      <c r="H9" s="91" t="str">
        <f>IF(C9="-","",450)</f>
        <v/>
      </c>
      <c r="I9" s="91" t="str">
        <f>IF(C9="-","",300)</f>
        <v/>
      </c>
      <c r="J9" s="90" t="str">
        <f>IF(C9="-","",$I$3-22)</f>
        <v/>
      </c>
      <c r="K9" s="89" t="str">
        <f t="shared" ref="K9:K12" si="1">IF(C9="-","",D9+E9+F9+2)</f>
        <v/>
      </c>
      <c r="L9" s="92" t="str">
        <f t="shared" ref="L9:L12" si="2">IF(C9="-","",J9-(88))</f>
        <v/>
      </c>
    </row>
    <row r="10" spans="1:12" ht="30" customHeight="1" x14ac:dyDescent="0.35">
      <c r="A10" s="61" t="s">
        <v>5</v>
      </c>
      <c r="B10" s="62" t="s">
        <v>8</v>
      </c>
      <c r="C10" s="81" t="str">
        <f>IF(I3=1310,"A80","-")</f>
        <v>-</v>
      </c>
      <c r="D10" s="82" t="str">
        <f>IF(C10="-","",406.5)</f>
        <v/>
      </c>
      <c r="E10" s="83" t="str">
        <f>IF(C10="-","",(($I$3-(D10*2)-22.5-60-2-6)))</f>
        <v/>
      </c>
      <c r="F10" s="83" t="str">
        <f>IF(C10="-","",(($I$3-(D10*2)-22.5-60-2-6)))</f>
        <v/>
      </c>
      <c r="G10" s="85" t="str">
        <f t="shared" si="0"/>
        <v/>
      </c>
      <c r="H10" s="85" t="str">
        <f>IF(C10="-","",500)</f>
        <v/>
      </c>
      <c r="I10" s="85" t="str">
        <f>IF(C10="-","",350)</f>
        <v/>
      </c>
      <c r="J10" s="84" t="str">
        <f>IF(C10="-","",$I$3-22)</f>
        <v/>
      </c>
      <c r="K10" s="83" t="str">
        <f t="shared" si="1"/>
        <v/>
      </c>
      <c r="L10" s="86" t="str">
        <f t="shared" si="2"/>
        <v/>
      </c>
    </row>
    <row r="11" spans="1:12" ht="30" customHeight="1" x14ac:dyDescent="0.35">
      <c r="A11" s="63" t="s">
        <v>6</v>
      </c>
      <c r="B11" s="64" t="s">
        <v>9</v>
      </c>
      <c r="C11" s="87" t="str">
        <f>IF(I3=1460,"B90","-")</f>
        <v>-</v>
      </c>
      <c r="D11" s="88" t="str">
        <f>IF(C11="-","",456.5)</f>
        <v/>
      </c>
      <c r="E11" s="89" t="str">
        <f>IF(C11="-","",(($I$3-(D11*2)-22.5-60-2-6)))</f>
        <v/>
      </c>
      <c r="F11" s="89" t="str">
        <f>IF(C11="-","",(($I$3-(D11*2)-22.5-60-2-6)))</f>
        <v/>
      </c>
      <c r="G11" s="91" t="str">
        <f t="shared" si="0"/>
        <v/>
      </c>
      <c r="H11" s="91" t="str">
        <f>IF(C11="-","",550)</f>
        <v/>
      </c>
      <c r="I11" s="91" t="str">
        <f>IF(C11="-","",400)</f>
        <v/>
      </c>
      <c r="J11" s="90" t="str">
        <f>IF(C11="-","",$I$3-22)</f>
        <v/>
      </c>
      <c r="K11" s="89" t="str">
        <f t="shared" si="1"/>
        <v/>
      </c>
      <c r="L11" s="92" t="str">
        <f t="shared" si="2"/>
        <v/>
      </c>
    </row>
    <row r="12" spans="1:12" ht="30" customHeight="1" x14ac:dyDescent="0.35">
      <c r="A12" s="65" t="s">
        <v>7</v>
      </c>
      <c r="B12" s="124" t="s">
        <v>10</v>
      </c>
      <c r="C12" s="111" t="str">
        <f>IF(I3=1610,"B100","-")</f>
        <v>-</v>
      </c>
      <c r="D12" s="112" t="str">
        <f>IF(C12="-","",506.5)</f>
        <v/>
      </c>
      <c r="E12" s="113" t="str">
        <f>IF(C12="-","",(($I$3-(D12*2)-22.5-60-2-6)))</f>
        <v/>
      </c>
      <c r="F12" s="113" t="str">
        <f>IF(C12="-","",(($I$3-(D12*2)-22.5-60-2-6)))</f>
        <v/>
      </c>
      <c r="G12" s="115" t="str">
        <f>IF(C12="-","",0)</f>
        <v/>
      </c>
      <c r="H12" s="115" t="str">
        <f>IF(C12="-","",600)</f>
        <v/>
      </c>
      <c r="I12" s="115" t="str">
        <f>IF(C12="-","",450)</f>
        <v/>
      </c>
      <c r="J12" s="114" t="str">
        <f>IF(C12="-","",$I$3-22)</f>
        <v/>
      </c>
      <c r="K12" s="113" t="str">
        <f t="shared" si="1"/>
        <v/>
      </c>
      <c r="L12" s="116" t="str">
        <f t="shared" si="2"/>
        <v/>
      </c>
    </row>
    <row r="13" spans="1:12" ht="5.25" customHeight="1" x14ac:dyDescent="0.35">
      <c r="A13" s="52"/>
      <c r="B13" s="53"/>
      <c r="C13" s="123"/>
      <c r="D13" s="123"/>
      <c r="E13" s="123"/>
      <c r="F13" s="53"/>
      <c r="G13" s="53"/>
      <c r="H13" s="53"/>
      <c r="I13" s="53"/>
      <c r="J13" s="53"/>
      <c r="K13" s="53"/>
      <c r="L13" s="54"/>
    </row>
    <row r="14" spans="1:12" ht="25" customHeight="1" x14ac:dyDescent="0.35">
      <c r="A14" s="139" t="s">
        <v>47</v>
      </c>
      <c r="B14" s="140"/>
      <c r="C14" s="139" t="s">
        <v>90</v>
      </c>
      <c r="D14" s="141"/>
      <c r="E14" s="141"/>
      <c r="F14" s="141"/>
      <c r="G14" s="141"/>
      <c r="H14" s="141"/>
      <c r="I14" s="141"/>
      <c r="J14" s="141"/>
      <c r="K14" s="141"/>
      <c r="L14" s="140"/>
    </row>
    <row r="15" spans="1:12" ht="45" customHeight="1" x14ac:dyDescent="0.35">
      <c r="A15" s="55" t="s">
        <v>41</v>
      </c>
      <c r="B15" s="56" t="s">
        <v>0</v>
      </c>
      <c r="C15" s="57" t="s">
        <v>61</v>
      </c>
      <c r="D15" s="58" t="s">
        <v>77</v>
      </c>
      <c r="E15" s="59" t="s">
        <v>83</v>
      </c>
      <c r="F15" s="59" t="s">
        <v>78</v>
      </c>
      <c r="G15" s="58" t="s">
        <v>23</v>
      </c>
      <c r="H15" s="58" t="s">
        <v>44</v>
      </c>
      <c r="I15" s="58" t="s">
        <v>82</v>
      </c>
      <c r="J15" s="58" t="s">
        <v>45</v>
      </c>
      <c r="K15" s="58" t="s">
        <v>86</v>
      </c>
      <c r="L15" s="60" t="s">
        <v>85</v>
      </c>
    </row>
    <row r="16" spans="1:12" ht="30" customHeight="1" x14ac:dyDescent="0.35">
      <c r="A16" s="61" t="s">
        <v>1</v>
      </c>
      <c r="B16" s="62" t="s">
        <v>2</v>
      </c>
      <c r="C16" s="81" t="str">
        <f>IF(I3="","-",IF(I3&lt;910,"-",IF(I3&gt;=910,IF(I3&lt;=1301.5,"F60",IF(I3&gt;1301.5,"-")))))</f>
        <v>-</v>
      </c>
      <c r="D16" s="82" t="str">
        <f>IF(C16="-","",306.5)</f>
        <v/>
      </c>
      <c r="E16" s="83" t="str">
        <f>IF(C16="-","",306.5)</f>
        <v/>
      </c>
      <c r="F16" s="83" t="str">
        <f>IF(C16="-","",(($I$3-(D16*2)-22.5-60-2-6)))</f>
        <v/>
      </c>
      <c r="G16" s="85" t="str">
        <f>IF(C16="-","",F16-D16)</f>
        <v/>
      </c>
      <c r="H16" s="85" t="str">
        <f>IF(C16="-","",400)</f>
        <v/>
      </c>
      <c r="I16" s="85" t="str">
        <f>IF(C16="-","",IF(G16&lt;1,250,250+G16))</f>
        <v/>
      </c>
      <c r="J16" s="84" t="str">
        <f>IF(C16="-","",$I$3-22)</f>
        <v/>
      </c>
      <c r="K16" s="83" t="str">
        <f>IF(C16="-","",D16+E16+F16+2)</f>
        <v/>
      </c>
      <c r="L16" s="86" t="str">
        <f>IF(C16="-","",IF(G16=0,900,J16-88))</f>
        <v/>
      </c>
    </row>
    <row r="17" spans="1:12" ht="30" customHeight="1" x14ac:dyDescent="0.35">
      <c r="A17" s="63" t="s">
        <v>3</v>
      </c>
      <c r="B17" s="64" t="s">
        <v>4</v>
      </c>
      <c r="C17" s="87" t="str">
        <f>IF(I3="","-",IF(I3&lt;1060,"-",IF(I3&gt;=1060,IF(I3&lt;=1501.5,"F70",IF(I3&gt;1501.5,"-")))))</f>
        <v>-</v>
      </c>
      <c r="D17" s="88" t="str">
        <f>IF(C17="-","",356.5)</f>
        <v/>
      </c>
      <c r="E17" s="89" t="str">
        <f>IF(C17="-","",356.5)</f>
        <v/>
      </c>
      <c r="F17" s="89" t="str">
        <f>IF(C17="-","",(($I$3-(D17*2)-22.5-60-2-6)))</f>
        <v/>
      </c>
      <c r="G17" s="91" t="str">
        <f t="shared" ref="G17:G20" si="3">IF(C17="-","",F17-D17)</f>
        <v/>
      </c>
      <c r="H17" s="91" t="str">
        <f>IF(C17="-","",450)</f>
        <v/>
      </c>
      <c r="I17" s="91" t="str">
        <f>IF(C17="-","",IF(G17&lt;1,300,300+G17))</f>
        <v/>
      </c>
      <c r="J17" s="90" t="str">
        <f>IF(C17="-","",$I$3-22)</f>
        <v/>
      </c>
      <c r="K17" s="89" t="str">
        <f t="shared" ref="K17:K20" si="4">IF(C17="-","",D17+E17+F17+2)</f>
        <v/>
      </c>
      <c r="L17" s="92" t="str">
        <f>IF(C17="-","",IF(G17=0,1050+G17,J17-88))</f>
        <v/>
      </c>
    </row>
    <row r="18" spans="1:12" ht="30" customHeight="1" x14ac:dyDescent="0.35">
      <c r="A18" s="61" t="s">
        <v>5</v>
      </c>
      <c r="B18" s="62" t="s">
        <v>8</v>
      </c>
      <c r="C18" s="81" t="str">
        <f>IF(I3="","-",IF(I3&lt;1160,"-",IF(I3&gt;=1160,IF(I3&lt;=1701.5,"A80",IF(I3&gt;1701.5,"-",)))))</f>
        <v>-</v>
      </c>
      <c r="D18" s="82" t="str">
        <f>IF(C18="-","",406.5)</f>
        <v/>
      </c>
      <c r="E18" s="83" t="str">
        <f>IF(C18="-","",406.5)</f>
        <v/>
      </c>
      <c r="F18" s="83" t="str">
        <f>IF(C18="-","",(($I$3-(D18*2)-22.5-60-2-6)))</f>
        <v/>
      </c>
      <c r="G18" s="85" t="str">
        <f t="shared" si="3"/>
        <v/>
      </c>
      <c r="H18" s="85" t="str">
        <f>IF(C18="-","",500)</f>
        <v/>
      </c>
      <c r="I18" s="85" t="str">
        <f>IF(C18="-","",IF(G18&lt;1,350,350+G18))</f>
        <v/>
      </c>
      <c r="J18" s="84" t="str">
        <f>IF(C18="-","",$I$3-22)</f>
        <v/>
      </c>
      <c r="K18" s="83" t="str">
        <f t="shared" si="4"/>
        <v/>
      </c>
      <c r="L18" s="86" t="str">
        <f>IF(C18="-","",IF(G18=0,1200+G18,J18-88))</f>
        <v/>
      </c>
    </row>
    <row r="19" spans="1:12" ht="30" customHeight="1" x14ac:dyDescent="0.35">
      <c r="A19" s="63" t="s">
        <v>6</v>
      </c>
      <c r="B19" s="64" t="s">
        <v>9</v>
      </c>
      <c r="C19" s="87" t="str">
        <f>IF(I3="","-",IF(I3&lt;1260,"-",IF(I3&gt;=1260,IF(I3&lt;=1901.5,"B90",IF(I3&gt;1901.5,"-")))))</f>
        <v>-</v>
      </c>
      <c r="D19" s="88" t="str">
        <f>IF(C19="-","",456.5)</f>
        <v/>
      </c>
      <c r="E19" s="89" t="str">
        <f>IF(C19="-","",456.5)</f>
        <v/>
      </c>
      <c r="F19" s="89" t="str">
        <f>IF(C19="-","",(($I$3-(D19*2)-22.5-60-2-6)))</f>
        <v/>
      </c>
      <c r="G19" s="91" t="str">
        <f t="shared" si="3"/>
        <v/>
      </c>
      <c r="H19" s="91" t="str">
        <f>IF(C19="-","",550)</f>
        <v/>
      </c>
      <c r="I19" s="91" t="str">
        <f>IF(C19="-","",IF(G19&lt;1,400,400+G19))</f>
        <v/>
      </c>
      <c r="J19" s="90" t="str">
        <f>IF(C19="-","",$I$3-22)</f>
        <v/>
      </c>
      <c r="K19" s="89" t="str">
        <f t="shared" si="4"/>
        <v/>
      </c>
      <c r="L19" s="92" t="str">
        <f>IF(C19="-","",IF(G19=0,1350+G19,J19-88))</f>
        <v/>
      </c>
    </row>
    <row r="20" spans="1:12" ht="30" customHeight="1" x14ac:dyDescent="0.35">
      <c r="A20" s="65" t="s">
        <v>7</v>
      </c>
      <c r="B20" s="124" t="s">
        <v>10</v>
      </c>
      <c r="C20" s="111" t="str">
        <f>IF(I3="","-",IF(I3&lt;1360,"-",IF(I3&gt;=1360,IF(I3&lt;=2101.5,"B100",IF(I3&gt;2101.5,"-")))))</f>
        <v>-</v>
      </c>
      <c r="D20" s="112" t="str">
        <f>IF(C20="-","",506.5)</f>
        <v/>
      </c>
      <c r="E20" s="113" t="str">
        <f>IF(C20="-","",506.5)</f>
        <v/>
      </c>
      <c r="F20" s="113" t="str">
        <f>IF(C20="-","",(($I$3-(D20*2)-22.5-60-2-6)))</f>
        <v/>
      </c>
      <c r="G20" s="115" t="str">
        <f t="shared" si="3"/>
        <v/>
      </c>
      <c r="H20" s="115" t="str">
        <f>IF(C20="-","",600)</f>
        <v/>
      </c>
      <c r="I20" s="115" t="str">
        <f>IF(C20="-","",IF(G20&lt;1,450,450+G20))</f>
        <v/>
      </c>
      <c r="J20" s="114" t="str">
        <f>IF(C20="-","",$I$3-22)</f>
        <v/>
      </c>
      <c r="K20" s="113" t="str">
        <f t="shared" si="4"/>
        <v/>
      </c>
      <c r="L20" s="116" t="str">
        <f>IF(C20="-","",IF(G20=0,1500+G20,J20-88))</f>
        <v/>
      </c>
    </row>
    <row r="21" spans="1:12" ht="5.25" customHeight="1" x14ac:dyDescent="0.35">
      <c r="A21" s="52"/>
      <c r="B21" s="53"/>
      <c r="C21" s="123"/>
      <c r="D21" s="123"/>
      <c r="E21" s="123"/>
      <c r="F21" s="53"/>
      <c r="G21" s="53"/>
      <c r="H21" s="53"/>
      <c r="I21" s="53"/>
      <c r="J21" s="53"/>
      <c r="K21" s="53"/>
      <c r="L21" s="54"/>
    </row>
    <row r="22" spans="1:12" ht="25" customHeight="1" x14ac:dyDescent="0.35">
      <c r="A22" s="139" t="s">
        <v>47</v>
      </c>
      <c r="B22" s="140"/>
      <c r="C22" s="139" t="s">
        <v>87</v>
      </c>
      <c r="D22" s="141"/>
      <c r="E22" s="141"/>
      <c r="F22" s="141"/>
      <c r="G22" s="141"/>
      <c r="H22" s="141"/>
      <c r="I22" s="141"/>
      <c r="J22" s="141"/>
      <c r="K22" s="141"/>
      <c r="L22" s="140"/>
    </row>
    <row r="23" spans="1:12" ht="45" customHeight="1" x14ac:dyDescent="0.35">
      <c r="A23" s="55" t="s">
        <v>41</v>
      </c>
      <c r="B23" s="56" t="s">
        <v>0</v>
      </c>
      <c r="C23" s="57" t="s">
        <v>61</v>
      </c>
      <c r="D23" s="58" t="s">
        <v>77</v>
      </c>
      <c r="E23" s="59" t="s">
        <v>83</v>
      </c>
      <c r="F23" s="59" t="s">
        <v>78</v>
      </c>
      <c r="G23" s="58" t="s">
        <v>84</v>
      </c>
      <c r="H23" s="58" t="s">
        <v>44</v>
      </c>
      <c r="I23" s="58" t="s">
        <v>82</v>
      </c>
      <c r="J23" s="58" t="s">
        <v>45</v>
      </c>
      <c r="K23" s="58" t="s">
        <v>86</v>
      </c>
      <c r="L23" s="60" t="s">
        <v>85</v>
      </c>
    </row>
    <row r="24" spans="1:12" ht="30" customHeight="1" x14ac:dyDescent="0.35">
      <c r="A24" s="61" t="s">
        <v>1</v>
      </c>
      <c r="B24" s="62" t="s">
        <v>2</v>
      </c>
      <c r="C24" s="81" t="str">
        <f>IF(I3="","-",IF(I3&lt;910,"-",IF(I3&gt;=910,IF(I3&lt;=1410,"F60",IF(I3&gt;1410,"-")))))</f>
        <v>-</v>
      </c>
      <c r="D24" s="82" t="str">
        <f>IF(C24="-","",306.5)</f>
        <v/>
      </c>
      <c r="E24" s="83" t="str">
        <f>IF(C24="-","",(($I$3-(D24)-22.5-60-2-6)/2))</f>
        <v/>
      </c>
      <c r="F24" s="83" t="str">
        <f>IF(C24="-","",(($I$3-(D24)-22.5-60-2-6)/2))</f>
        <v/>
      </c>
      <c r="G24" s="85" t="str">
        <f>IF(C24="-","",F24-D24)</f>
        <v/>
      </c>
      <c r="H24" s="85" t="str">
        <f>IF(C24="-","",400)</f>
        <v/>
      </c>
      <c r="I24" s="85" t="str">
        <f>IF(C24="-","",IF(G24&lt;1,250,250+G24))</f>
        <v/>
      </c>
      <c r="J24" s="84" t="str">
        <f>IF(C24="-","",$I$3-22)</f>
        <v/>
      </c>
      <c r="K24" s="83" t="str">
        <f>IF(C24="-","",D24+E24+F24+2)</f>
        <v/>
      </c>
      <c r="L24" s="86" t="str">
        <f>IF(C24="-","",IF(G24&gt;=0,900,J24-88))</f>
        <v/>
      </c>
    </row>
    <row r="25" spans="1:12" ht="30" customHeight="1" x14ac:dyDescent="0.35">
      <c r="A25" s="63" t="s">
        <v>3</v>
      </c>
      <c r="B25" s="64" t="s">
        <v>4</v>
      </c>
      <c r="C25" s="87" t="str">
        <f>IF(I3="","-",IF(I3&lt;1060,"-",IF(I3&gt;=1060,IF(I3&lt;=1560,"F70",IF(I3&gt;1560,"-")))))</f>
        <v>-</v>
      </c>
      <c r="D25" s="88" t="str">
        <f>IF(C25="-","",356.5)</f>
        <v/>
      </c>
      <c r="E25" s="89" t="str">
        <f>IF(C25="-","",(($I$3-(D25)-22.5-60-2-6)/2))</f>
        <v/>
      </c>
      <c r="F25" s="89" t="str">
        <f>IF(C25="-","",(($I$3-(D25)-22.5-60-2-6)/2))</f>
        <v/>
      </c>
      <c r="G25" s="91" t="str">
        <f t="shared" ref="G25:G28" si="5">IF(C25="-","",F25-D25)</f>
        <v/>
      </c>
      <c r="H25" s="91" t="str">
        <f>IF(C25="-","",450)</f>
        <v/>
      </c>
      <c r="I25" s="91" t="str">
        <f>IF(C25="-","",IF(G25&lt;1,300,300+G25))</f>
        <v/>
      </c>
      <c r="J25" s="90" t="str">
        <f>IF(C25="-","",$I$3-22)</f>
        <v/>
      </c>
      <c r="K25" s="89" t="str">
        <f t="shared" ref="K25:K28" si="6">IF(C25="-","",D25+E25+F25+2)</f>
        <v/>
      </c>
      <c r="L25" s="92" t="str">
        <f>IF(C25="-","",IF(G25&gt;=0,1050,J25-88))</f>
        <v/>
      </c>
    </row>
    <row r="26" spans="1:12" ht="30" customHeight="1" x14ac:dyDescent="0.35">
      <c r="A26" s="61" t="s">
        <v>5</v>
      </c>
      <c r="B26" s="62" t="s">
        <v>8</v>
      </c>
      <c r="C26" s="81" t="str">
        <f>IF(I3="","-",IF(I3&lt;1210,"-",IF(I3&gt;=1210,IF(I3&lt;=1710,"A80",IF(I3&gt;1710,"-")))))</f>
        <v>-</v>
      </c>
      <c r="D26" s="82" t="str">
        <f>IF(C26="-","",406.5)</f>
        <v/>
      </c>
      <c r="E26" s="83" t="str">
        <f>IF(C26="-","",(($I$3-(D26)-22.5-60-2-6)/2))</f>
        <v/>
      </c>
      <c r="F26" s="83" t="str">
        <f>IF(C26="-","",(($I$3-D26-22.5-60-2-6)/2))</f>
        <v/>
      </c>
      <c r="G26" s="85" t="str">
        <f t="shared" si="5"/>
        <v/>
      </c>
      <c r="H26" s="85" t="str">
        <f>IF(C26="-","",500)</f>
        <v/>
      </c>
      <c r="I26" s="85" t="str">
        <f>IF(C26="-","",IF(G26&lt;1,350,350+G26))</f>
        <v/>
      </c>
      <c r="J26" s="84" t="str">
        <f>IF(C26="-","",$I$3-22)</f>
        <v/>
      </c>
      <c r="K26" s="83" t="str">
        <f t="shared" si="6"/>
        <v/>
      </c>
      <c r="L26" s="86" t="str">
        <f>IF(C26="-","",IF(G26&gt;=0,1200,J26-88))</f>
        <v/>
      </c>
    </row>
    <row r="27" spans="1:12" ht="30" customHeight="1" x14ac:dyDescent="0.35">
      <c r="A27" s="63" t="s">
        <v>6</v>
      </c>
      <c r="B27" s="64" t="s">
        <v>9</v>
      </c>
      <c r="C27" s="87" t="str">
        <f>IF(I3="","-",IF(I3&lt;1360,"-",IF(I3&gt;=1360,IF(I3&lt;=1860,"B90",IF(I3&gt;1860,"-")))))</f>
        <v>-</v>
      </c>
      <c r="D27" s="88" t="str">
        <f>IF(C27="-","",456.5)</f>
        <v/>
      </c>
      <c r="E27" s="89" t="str">
        <f>IF(C27="-","",(($I$3-(D27)-22.5-60-2-6)/2))</f>
        <v/>
      </c>
      <c r="F27" s="89" t="str">
        <f>IF(C27="-","",(($I$3-(D27)-22.5-60-2-6)/2))</f>
        <v/>
      </c>
      <c r="G27" s="91" t="str">
        <f t="shared" si="5"/>
        <v/>
      </c>
      <c r="H27" s="91" t="str">
        <f>IF(C27="-","",550)</f>
        <v/>
      </c>
      <c r="I27" s="91" t="str">
        <f>IF(C27="-","",IF(G27&lt;1,400,400+G27))</f>
        <v/>
      </c>
      <c r="J27" s="90" t="str">
        <f>IF(C27="-","",$I$3-22)</f>
        <v/>
      </c>
      <c r="K27" s="89" t="str">
        <f t="shared" si="6"/>
        <v/>
      </c>
      <c r="L27" s="92" t="str">
        <f>IF(C27="-","",IF(G27&gt;=0,1350,J27-88))</f>
        <v/>
      </c>
    </row>
    <row r="28" spans="1:12" ht="30" customHeight="1" x14ac:dyDescent="0.35">
      <c r="A28" s="65" t="s">
        <v>7</v>
      </c>
      <c r="B28" s="124" t="s">
        <v>10</v>
      </c>
      <c r="C28" s="111" t="str">
        <f>IF(I3="","-",IF(I3&lt;1510,"-",IF(I3&gt;=1510,IF(I3&lt;=2010,"B100",IF(I3&gt;2010,"-")))))</f>
        <v>-</v>
      </c>
      <c r="D28" s="112" t="str">
        <f>IF(C28="-","",506.5)</f>
        <v/>
      </c>
      <c r="E28" s="113" t="str">
        <f>IF(C28="-","",(($I$3-(D28)-22.5-60-2-6)/2))</f>
        <v/>
      </c>
      <c r="F28" s="113" t="str">
        <f>IF(C28="-","",(($I$3-(D28)-22.5-60-2-6)/2))</f>
        <v/>
      </c>
      <c r="G28" s="115" t="str">
        <f t="shared" si="5"/>
        <v/>
      </c>
      <c r="H28" s="115" t="str">
        <f>IF(C28="-","",600)</f>
        <v/>
      </c>
      <c r="I28" s="115" t="str">
        <f>IF(C28="-","",IF(G28&lt;1,450,450+G28))</f>
        <v/>
      </c>
      <c r="J28" s="114" t="str">
        <f>IF(C28="-","",$I$3-22)</f>
        <v/>
      </c>
      <c r="K28" s="113" t="str">
        <f t="shared" si="6"/>
        <v/>
      </c>
      <c r="L28" s="116" t="str">
        <f>IF(C28="-","",IF(G28&gt;=0,1500,J28-88))</f>
        <v/>
      </c>
    </row>
    <row r="29" spans="1:12" ht="5.25" customHeight="1" x14ac:dyDescent="0.35">
      <c r="A29" s="52"/>
      <c r="B29" s="53"/>
      <c r="C29" s="123"/>
      <c r="D29" s="123"/>
      <c r="E29" s="123"/>
      <c r="F29" s="53"/>
      <c r="G29" s="53"/>
      <c r="H29" s="53"/>
      <c r="I29" s="53"/>
      <c r="J29" s="53"/>
      <c r="K29" s="53"/>
      <c r="L29" s="54"/>
    </row>
    <row r="30" spans="1:12" ht="25" customHeight="1" x14ac:dyDescent="0.35">
      <c r="A30" s="139" t="s">
        <v>47</v>
      </c>
      <c r="B30" s="140"/>
      <c r="C30" s="139" t="s">
        <v>88</v>
      </c>
      <c r="D30" s="141"/>
      <c r="E30" s="141"/>
      <c r="F30" s="141"/>
      <c r="G30" s="141"/>
      <c r="H30" s="141"/>
      <c r="I30" s="141"/>
      <c r="J30" s="141"/>
      <c r="K30" s="141"/>
      <c r="L30" s="140"/>
    </row>
    <row r="31" spans="1:12" ht="45" customHeight="1" x14ac:dyDescent="0.35">
      <c r="A31" s="55" t="s">
        <v>41</v>
      </c>
      <c r="B31" s="56" t="s">
        <v>0</v>
      </c>
      <c r="C31" s="57" t="s">
        <v>61</v>
      </c>
      <c r="D31" s="58" t="s">
        <v>77</v>
      </c>
      <c r="E31" s="59" t="s">
        <v>83</v>
      </c>
      <c r="F31" s="59" t="s">
        <v>78</v>
      </c>
      <c r="G31" s="58" t="s">
        <v>22</v>
      </c>
      <c r="H31" s="58" t="s">
        <v>44</v>
      </c>
      <c r="I31" s="58" t="s">
        <v>82</v>
      </c>
      <c r="J31" s="58" t="s">
        <v>45</v>
      </c>
      <c r="K31" s="58" t="s">
        <v>86</v>
      </c>
      <c r="L31" s="60" t="s">
        <v>85</v>
      </c>
    </row>
    <row r="32" spans="1:12" ht="30" customHeight="1" x14ac:dyDescent="0.35">
      <c r="A32" s="61" t="s">
        <v>1</v>
      </c>
      <c r="B32" s="62" t="s">
        <v>2</v>
      </c>
      <c r="C32" s="81" t="str">
        <f>IF(I3="","-",IF(I3&lt;960,"-",IF(I3&gt;=960,IF(I3&lt;=1210,"F60",IF(I3&gt;1210,"-")))))</f>
        <v>-</v>
      </c>
      <c r="D32" s="82" t="str">
        <f>IF(C32="-","",306.5)</f>
        <v/>
      </c>
      <c r="E32" s="83" t="str">
        <f>IF(C32="-","",(($I$3-(D32*2)-22.5-60-2-6)))</f>
        <v/>
      </c>
      <c r="F32" s="83" t="str">
        <f>IF(C32="-","",306.5)</f>
        <v/>
      </c>
      <c r="G32" s="85" t="str">
        <f>IF(C32="-","",E32-D32)</f>
        <v/>
      </c>
      <c r="H32" s="85" t="str">
        <f>IF(C32="-","",400)</f>
        <v/>
      </c>
      <c r="I32" s="85" t="str">
        <f>IF(C32="-","",IF(G32&lt;1,250,250+G32))</f>
        <v/>
      </c>
      <c r="J32" s="84" t="str">
        <f>IF(C32="-","",$I$3-22)</f>
        <v/>
      </c>
      <c r="K32" s="83" t="str">
        <f>IF(C32="-","",D32+E32+F32+2)</f>
        <v/>
      </c>
      <c r="L32" s="86" t="str">
        <f>IF(C32="-","",IF(G32&gt;=0,900,J32-88))</f>
        <v/>
      </c>
    </row>
    <row r="33" spans="1:18" ht="30" customHeight="1" x14ac:dyDescent="0.35">
      <c r="A33" s="63" t="s">
        <v>3</v>
      </c>
      <c r="B33" s="64" t="s">
        <v>4</v>
      </c>
      <c r="C33" s="87" t="str">
        <f>IF(I3="","-",IF(I3&lt;1110,"-",IF(I3&gt;=1110,IF(I3&lt;=1360,"F70",IF(I3&gt;1360,"-")))))</f>
        <v>-</v>
      </c>
      <c r="D33" s="88" t="str">
        <f>IF(C33="-","",356.5)</f>
        <v/>
      </c>
      <c r="E33" s="89" t="str">
        <f>IF(C33="-","",(($I$3-(D33*2)-22.5-60-2-6)))</f>
        <v/>
      </c>
      <c r="F33" s="89" t="str">
        <f>IF(C33="-","",356.5)</f>
        <v/>
      </c>
      <c r="G33" s="91" t="str">
        <f t="shared" ref="G33:G36" si="7">IF(C33="-","",E33-D33)</f>
        <v/>
      </c>
      <c r="H33" s="91" t="str">
        <f>IF(C33="-","",450)</f>
        <v/>
      </c>
      <c r="I33" s="91" t="str">
        <f>IF(C33="-","",IF(G33&lt;1,300,300+G33))</f>
        <v/>
      </c>
      <c r="J33" s="90" t="str">
        <f>IF(C33="-","",$I$3-22)</f>
        <v/>
      </c>
      <c r="K33" s="89" t="str">
        <f t="shared" ref="K33:K36" si="8">IF(C33="-","",D33+E33+F33+2)</f>
        <v/>
      </c>
      <c r="L33" s="92" t="str">
        <f>IF(C33="-","",IF(G33&gt;=0,1050,J33-88))</f>
        <v/>
      </c>
    </row>
    <row r="34" spans="1:18" ht="30" customHeight="1" x14ac:dyDescent="0.35">
      <c r="A34" s="61" t="s">
        <v>5</v>
      </c>
      <c r="B34" s="62" t="s">
        <v>8</v>
      </c>
      <c r="C34" s="81" t="str">
        <f>IF(I3="","-",IF(I3&lt;1260,"-",IF(I3&gt;=1260,IF(I3&lt;=1510,"A80",IF(I3&gt;1510,"-")))))</f>
        <v>-</v>
      </c>
      <c r="D34" s="82" t="str">
        <f>IF(C34="-","",406.5)</f>
        <v/>
      </c>
      <c r="E34" s="83" t="str">
        <f>IF(C34="-","",(($I$3-(D34*2)-22.5-60-2-6)))</f>
        <v/>
      </c>
      <c r="F34" s="83" t="str">
        <f>IF(C34="-","",406.5)</f>
        <v/>
      </c>
      <c r="G34" s="85" t="str">
        <f t="shared" si="7"/>
        <v/>
      </c>
      <c r="H34" s="85" t="str">
        <f>IF(C34="-","",500)</f>
        <v/>
      </c>
      <c r="I34" s="85" t="str">
        <f>IF(C34="-","",IF(G34&lt;1,350,350+G34))</f>
        <v/>
      </c>
      <c r="J34" s="84" t="str">
        <f>IF(C34="-","",$I$3-22)</f>
        <v/>
      </c>
      <c r="K34" s="83" t="str">
        <f t="shared" si="8"/>
        <v/>
      </c>
      <c r="L34" s="86" t="str">
        <f>IF(C34="-","",IF(G34&gt;=0,1200,J34-88))</f>
        <v/>
      </c>
    </row>
    <row r="35" spans="1:18" ht="30" customHeight="1" x14ac:dyDescent="0.35">
      <c r="A35" s="63" t="s">
        <v>6</v>
      </c>
      <c r="B35" s="64" t="s">
        <v>9</v>
      </c>
      <c r="C35" s="87" t="str">
        <f>IF(I3="","-",IF(I3&lt;1410,"-",IF(I3&gt;=1410,IF(I3&lt;=1660,"B90",IF(I3&gt;1660,"-")))))</f>
        <v>-</v>
      </c>
      <c r="D35" s="88" t="str">
        <f>IF(C35="-","",456.5)</f>
        <v/>
      </c>
      <c r="E35" s="89" t="str">
        <f>IF(C35="-","",(($I$3-(D35*2)-22.5-60-2-6)))</f>
        <v/>
      </c>
      <c r="F35" s="89" t="str">
        <f>IF(C35="-","",456.5)</f>
        <v/>
      </c>
      <c r="G35" s="91" t="str">
        <f t="shared" si="7"/>
        <v/>
      </c>
      <c r="H35" s="91" t="str">
        <f>IF(C35="-","",550)</f>
        <v/>
      </c>
      <c r="I35" s="91" t="str">
        <f>IF(C35="-","",IF(G35&lt;1,400,400+G35))</f>
        <v/>
      </c>
      <c r="J35" s="90" t="str">
        <f>IF(C35="-","",$I$3-22)</f>
        <v/>
      </c>
      <c r="K35" s="89" t="str">
        <f t="shared" si="8"/>
        <v/>
      </c>
      <c r="L35" s="92" t="str">
        <f>IF(C35="-","",IF(G35&gt;=0,1350,J35-88))</f>
        <v/>
      </c>
    </row>
    <row r="36" spans="1:18" ht="30" customHeight="1" x14ac:dyDescent="0.35">
      <c r="A36" s="65" t="s">
        <v>7</v>
      </c>
      <c r="B36" s="62" t="s">
        <v>10</v>
      </c>
      <c r="C36" s="81" t="str">
        <f>IF(I3="","-",IF(I3&lt;1560,"-",IF(I3&gt;=1560,IF(I3&lt;=1810,"B100",IF(I3&gt;1810,"-")))))</f>
        <v>-</v>
      </c>
      <c r="D36" s="82" t="str">
        <f>IF(C36="-","",506.5)</f>
        <v/>
      </c>
      <c r="E36" s="83" t="str">
        <f>IF(C36="-","",(($I$3-(D36*2)-22.5-60-2-6)))</f>
        <v/>
      </c>
      <c r="F36" s="83" t="str">
        <f>IF(C36="-","",506.5)</f>
        <v/>
      </c>
      <c r="G36" s="85" t="str">
        <f t="shared" si="7"/>
        <v/>
      </c>
      <c r="H36" s="85" t="str">
        <f>IF(C36="-","",600)</f>
        <v/>
      </c>
      <c r="I36" s="85" t="str">
        <f>IF(C36="-","",IF(G36&lt;1,450,450+G36))</f>
        <v/>
      </c>
      <c r="J36" s="84" t="str">
        <f>IF(C36="-","",$I$3-22)</f>
        <v/>
      </c>
      <c r="K36" s="83" t="str">
        <f t="shared" si="8"/>
        <v/>
      </c>
      <c r="L36" s="86" t="str">
        <f>IF(C36="-","",IF(G36&gt;=0,1500,J36-88))</f>
        <v/>
      </c>
    </row>
    <row r="37" spans="1:18" ht="30" customHeight="1" x14ac:dyDescent="0.45">
      <c r="A37" s="66" t="s">
        <v>48</v>
      </c>
      <c r="B37" s="67"/>
      <c r="C37" s="68"/>
      <c r="D37" s="68"/>
      <c r="E37" s="69"/>
      <c r="F37" s="70"/>
      <c r="G37" s="70"/>
      <c r="H37" s="70"/>
      <c r="I37" s="70"/>
      <c r="J37" s="142" t="s">
        <v>49</v>
      </c>
      <c r="K37" s="142"/>
      <c r="L37" s="143"/>
      <c r="M37" s="53"/>
      <c r="N37" s="53"/>
      <c r="O37" s="53"/>
      <c r="P37" s="53"/>
      <c r="Q37" s="53"/>
      <c r="R37" s="53"/>
    </row>
    <row r="38" spans="1:18" ht="30" customHeight="1" x14ac:dyDescent="0.35">
      <c r="A38" s="108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7"/>
    </row>
    <row r="39" spans="1:18" ht="30" customHeight="1" x14ac:dyDescent="0.35">
      <c r="A39" s="108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8" ht="30" customHeight="1" x14ac:dyDescent="0.35">
      <c r="A40" s="108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18" ht="30" customHeight="1" x14ac:dyDescent="0.35">
      <c r="A41" s="108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7"/>
    </row>
    <row r="42" spans="1:18" ht="30" customHeight="1" x14ac:dyDescent="0.35">
      <c r="A42" s="108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7"/>
    </row>
    <row r="43" spans="1:18" ht="30" customHeight="1" x14ac:dyDescent="0.35">
      <c r="A43" s="10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7"/>
    </row>
    <row r="44" spans="1:18" ht="30" customHeight="1" x14ac:dyDescent="0.35">
      <c r="A44" s="10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7"/>
    </row>
    <row r="45" spans="1:18" ht="36" customHeight="1" x14ac:dyDescent="0.35">
      <c r="A45" s="136" t="s">
        <v>60</v>
      </c>
      <c r="B45" s="137"/>
      <c r="C45" s="109"/>
      <c r="D45" s="109"/>
      <c r="E45" s="109"/>
      <c r="F45" s="109"/>
      <c r="G45" s="109"/>
      <c r="H45" s="109"/>
      <c r="I45" s="109"/>
      <c r="J45" s="109"/>
      <c r="K45" s="109"/>
      <c r="L45" s="110"/>
    </row>
    <row r="46" spans="1:18" ht="32.25" customHeight="1" x14ac:dyDescent="0.35">
      <c r="A46" s="144" t="s">
        <v>24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</sheetData>
  <sheetProtection algorithmName="SHA-512" hashValue="G1OqhubWQuKY0Sq7yLap3L4GYF/t708XM1c9K2TpWL6yA5Wp0Tdmszh4WIsNA2S8FY8qka+8NZw3L8QYSfrIBA==" saltValue="je/eNsgHgHDVVCN8003cqA==" spinCount="100000" sheet="1" objects="1" scenarios="1"/>
  <mergeCells count="11">
    <mergeCell ref="A46:L46"/>
    <mergeCell ref="A22:B22"/>
    <mergeCell ref="C22:L22"/>
    <mergeCell ref="A30:B30"/>
    <mergeCell ref="C30:L30"/>
    <mergeCell ref="J37:L37"/>
    <mergeCell ref="A6:B6"/>
    <mergeCell ref="C6:L6"/>
    <mergeCell ref="A14:B14"/>
    <mergeCell ref="C14:L14"/>
    <mergeCell ref="A45:B45"/>
  </mergeCells>
  <dataValidations count="1">
    <dataValidation allowBlank="1" showInputMessage="1" showErrorMessage="1" errorTitle="Errore valore LFM" error="Inserire un valore di Larghezza Foro Muro valido (tra 1.010 mm e 1.610 mm)" sqref="I3" xr:uid="{BB0380C5-DAFE-4E6A-8141-5D5143D89806}"/>
  </dataValidations>
  <hyperlinks>
    <hyperlink ref="A45:B45" location="Menu!A1" display="  &lt;&lt; Torna al menu" xr:uid="{13C46EC9-1F59-490B-AE28-8139E107BD4B}"/>
    <hyperlink ref="I3" location="Menu!I3" display="Menu!I3" xr:uid="{65E7DA9B-740B-46CA-B6E8-8C5502F12C0D}"/>
  </hyperlinks>
  <pageMargins left="0.31496062992125984" right="0.31496062992125984" top="0.35433070866141736" bottom="0.35433070866141736" header="0.31496062992125984" footer="0.31496062992125984"/>
  <pageSetup paperSize="9" scale="70" fitToHeight="0" orientation="landscape" r:id="rId1"/>
  <rowBreaks count="1" manualBreakCount="1">
    <brk id="28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BF9A-CD7C-42E0-9623-6DFBF4B66B73}">
  <sheetPr>
    <pageSetUpPr fitToPage="1"/>
  </sheetPr>
  <dimension ref="A1:L46"/>
  <sheetViews>
    <sheetView workbookViewId="0">
      <pane ySplit="5" topLeftCell="A6" activePane="bottomLeft" state="frozen"/>
      <selection pane="bottomLeft" activeCell="E10" sqref="E10"/>
    </sheetView>
  </sheetViews>
  <sheetFormatPr defaultColWidth="8.81640625" defaultRowHeight="14.5" x14ac:dyDescent="0.35"/>
  <cols>
    <col min="1" max="2" width="15.54296875" style="41" customWidth="1"/>
    <col min="3" max="5" width="20.54296875" style="41" customWidth="1"/>
    <col min="6" max="12" width="15.54296875" style="41" customWidth="1"/>
    <col min="13" max="16384" width="8.81640625" style="41"/>
  </cols>
  <sheetData>
    <row r="1" spans="1:12" ht="25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30.75" customHeight="1" x14ac:dyDescent="0.35">
      <c r="A2" s="42"/>
      <c r="B2" s="43"/>
      <c r="C2" s="43"/>
      <c r="D2" s="44" t="s">
        <v>37</v>
      </c>
      <c r="E2" s="43"/>
      <c r="F2" s="43"/>
      <c r="G2" s="43"/>
      <c r="H2" s="43"/>
      <c r="I2" s="98" t="s">
        <v>39</v>
      </c>
      <c r="J2" s="46"/>
      <c r="K2" s="43"/>
      <c r="L2" s="47"/>
    </row>
    <row r="3" spans="1:12" ht="22.5" customHeight="1" x14ac:dyDescent="0.35">
      <c r="A3" s="42"/>
      <c r="B3" s="48"/>
      <c r="C3" s="43"/>
      <c r="D3" s="49" t="s">
        <v>65</v>
      </c>
      <c r="E3" s="43"/>
      <c r="F3" s="43"/>
      <c r="G3" s="43"/>
      <c r="H3" s="50" t="s">
        <v>31</v>
      </c>
      <c r="I3" s="96">
        <f>Menu!I3</f>
        <v>0</v>
      </c>
      <c r="J3" s="51" t="s">
        <v>32</v>
      </c>
      <c r="K3" s="43"/>
      <c r="L3" s="47"/>
    </row>
    <row r="4" spans="1:12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7"/>
    </row>
    <row r="5" spans="1:12" ht="5.25" customHeight="1" x14ac:dyDescent="0.35">
      <c r="A5" s="52"/>
      <c r="B5" s="53"/>
      <c r="C5" s="123"/>
      <c r="D5" s="123"/>
      <c r="E5" s="123"/>
      <c r="F5" s="53"/>
      <c r="G5" s="53"/>
      <c r="H5" s="53"/>
      <c r="I5" s="53"/>
      <c r="J5" s="53"/>
      <c r="K5" s="53"/>
      <c r="L5" s="54"/>
    </row>
    <row r="6" spans="1:12" ht="25" customHeight="1" x14ac:dyDescent="0.35">
      <c r="A6" s="139" t="s">
        <v>47</v>
      </c>
      <c r="B6" s="140"/>
      <c r="C6" s="139" t="s">
        <v>70</v>
      </c>
      <c r="D6" s="141"/>
      <c r="E6" s="141"/>
      <c r="F6" s="141"/>
      <c r="G6" s="141"/>
      <c r="H6" s="141"/>
      <c r="I6" s="141"/>
      <c r="J6" s="141"/>
      <c r="K6" s="141"/>
      <c r="L6" s="140"/>
    </row>
    <row r="7" spans="1:12" ht="45" customHeight="1" x14ac:dyDescent="0.35">
      <c r="A7" s="55" t="s">
        <v>41</v>
      </c>
      <c r="B7" s="56" t="s">
        <v>0</v>
      </c>
      <c r="C7" s="57" t="s">
        <v>61</v>
      </c>
      <c r="D7" s="58" t="s">
        <v>77</v>
      </c>
      <c r="E7" s="59" t="s">
        <v>79</v>
      </c>
      <c r="F7" s="59" t="s">
        <v>78</v>
      </c>
      <c r="G7" s="58" t="s">
        <v>22</v>
      </c>
      <c r="H7" s="58" t="s">
        <v>44</v>
      </c>
      <c r="I7" s="58" t="s">
        <v>82</v>
      </c>
      <c r="J7" s="58" t="s">
        <v>45</v>
      </c>
      <c r="K7" s="58" t="s">
        <v>80</v>
      </c>
      <c r="L7" s="60" t="s">
        <v>81</v>
      </c>
    </row>
    <row r="8" spans="1:12" ht="30" customHeight="1" x14ac:dyDescent="0.35">
      <c r="A8" s="61" t="s">
        <v>1</v>
      </c>
      <c r="B8" s="62" t="s">
        <v>2</v>
      </c>
      <c r="C8" s="81" t="str">
        <f>IF(I3=1930,"F60","-")</f>
        <v>-</v>
      </c>
      <c r="D8" s="82" t="str">
        <f>IF(C8="-","",306.5)</f>
        <v/>
      </c>
      <c r="E8" s="83" t="str">
        <f>IF(C8="-","",(($I$3-(D8*4)-18-60-4-9)/2))</f>
        <v/>
      </c>
      <c r="F8" s="83" t="str">
        <f>IF(C8="-","",(($I$3-(D8*4)-18-60-4-9)/2))</f>
        <v/>
      </c>
      <c r="G8" s="85" t="str">
        <f>IF(C8="-","",0)</f>
        <v/>
      </c>
      <c r="H8" s="85" t="str">
        <f>IF(C8="-","",400)</f>
        <v/>
      </c>
      <c r="I8" s="85" t="str">
        <f>IF(C8="-","",250)</f>
        <v/>
      </c>
      <c r="J8" s="84" t="str">
        <f>IF(C8="-","",I$3-18)</f>
        <v/>
      </c>
      <c r="K8" s="83" t="str">
        <f>IF(C8="-","",D8+E8+F8+2)</f>
        <v/>
      </c>
      <c r="L8" s="86" t="str">
        <f>IF(C8="-","",J8-96)</f>
        <v/>
      </c>
    </row>
    <row r="9" spans="1:12" ht="30" customHeight="1" x14ac:dyDescent="0.35">
      <c r="A9" s="63" t="s">
        <v>3</v>
      </c>
      <c r="B9" s="64" t="s">
        <v>4</v>
      </c>
      <c r="C9" s="87" t="str">
        <f>IF(I3=2230,"F70","-")</f>
        <v>-</v>
      </c>
      <c r="D9" s="88" t="str">
        <f>IF(C9="-","",356.5)</f>
        <v/>
      </c>
      <c r="E9" s="89" t="str">
        <f>IF(C9="-","",(($I$3-(D9*4)-18-60-4-9)/2))</f>
        <v/>
      </c>
      <c r="F9" s="89" t="str">
        <f>IF(C9="-","",(($I$3-(D9*4)-18-60-4-9)/2))</f>
        <v/>
      </c>
      <c r="G9" s="91" t="str">
        <f t="shared" ref="G9:G12" si="0">IF(C9="-","",0)</f>
        <v/>
      </c>
      <c r="H9" s="91" t="str">
        <f>IF(C9="-","",450)</f>
        <v/>
      </c>
      <c r="I9" s="91" t="str">
        <f>IF(C9="-","",300)</f>
        <v/>
      </c>
      <c r="J9" s="90" t="str">
        <f>IF(C9="-","",I$3-18)</f>
        <v/>
      </c>
      <c r="K9" s="89" t="str">
        <f>IF(C9="-","",D9+E9+F9+2)</f>
        <v/>
      </c>
      <c r="L9" s="92" t="str">
        <f t="shared" ref="L9:L12" si="1">IF(C9="-","",J9-96)</f>
        <v/>
      </c>
    </row>
    <row r="10" spans="1:12" ht="30" customHeight="1" x14ac:dyDescent="0.35">
      <c r="A10" s="61" t="s">
        <v>5</v>
      </c>
      <c r="B10" s="62" t="s">
        <v>8</v>
      </c>
      <c r="C10" s="81" t="str">
        <f>IF(I3=2530,"A80","-")</f>
        <v>-</v>
      </c>
      <c r="D10" s="82" t="str">
        <f>IF(C10="-","",406.5)</f>
        <v/>
      </c>
      <c r="E10" s="83" t="str">
        <f>IF(C10="-","",(($I$3-(D10*4)-18-60-4-9)/2))</f>
        <v/>
      </c>
      <c r="F10" s="83" t="str">
        <f>IF(C10="-","",(($I$3-(E10*4)-18-60-4-9)/2))</f>
        <v/>
      </c>
      <c r="G10" s="85" t="str">
        <f t="shared" si="0"/>
        <v/>
      </c>
      <c r="H10" s="85" t="str">
        <f>IF(C10="-","",500)</f>
        <v/>
      </c>
      <c r="I10" s="85" t="str">
        <f>IF(C10="-","",350)</f>
        <v/>
      </c>
      <c r="J10" s="84" t="str">
        <f>IF(C10="-","",I$3-18)</f>
        <v/>
      </c>
      <c r="K10" s="83" t="str">
        <f>IF(C10="-","",D10+E10+F10+2)</f>
        <v/>
      </c>
      <c r="L10" s="86" t="str">
        <f t="shared" si="1"/>
        <v/>
      </c>
    </row>
    <row r="11" spans="1:12" ht="30" customHeight="1" x14ac:dyDescent="0.35">
      <c r="A11" s="63" t="s">
        <v>6</v>
      </c>
      <c r="B11" s="64" t="s">
        <v>9</v>
      </c>
      <c r="C11" s="87" t="str">
        <f>IF(I3=2830,"B90","-")</f>
        <v>-</v>
      </c>
      <c r="D11" s="88" t="str">
        <f>IF(C11="-","",456.5)</f>
        <v/>
      </c>
      <c r="E11" s="89" t="str">
        <f>IF(C11="-","",(($I$3-(D11*4)-18-60-4-9)/2))</f>
        <v/>
      </c>
      <c r="F11" s="89" t="str">
        <f>IF(C11="-","",(($I$3-(E11*4)-18-60-4-9)/2))</f>
        <v/>
      </c>
      <c r="G11" s="91" t="str">
        <f t="shared" si="0"/>
        <v/>
      </c>
      <c r="H11" s="91" t="str">
        <f>IF(C11="-","",550)</f>
        <v/>
      </c>
      <c r="I11" s="91" t="str">
        <f>IF(C11="-","",400)</f>
        <v/>
      </c>
      <c r="J11" s="90" t="str">
        <f>IF(C11="-","",I$3-18)</f>
        <v/>
      </c>
      <c r="K11" s="89" t="str">
        <f>IF(C11="-","",D11+E11+F11+2)</f>
        <v/>
      </c>
      <c r="L11" s="92" t="str">
        <f t="shared" si="1"/>
        <v/>
      </c>
    </row>
    <row r="12" spans="1:12" ht="30" customHeight="1" x14ac:dyDescent="0.35">
      <c r="A12" s="65" t="s">
        <v>7</v>
      </c>
      <c r="B12" s="124" t="s">
        <v>10</v>
      </c>
      <c r="C12" s="111" t="str">
        <f>IF(I3=3130,"B100","-")</f>
        <v>-</v>
      </c>
      <c r="D12" s="112" t="str">
        <f>IF(C12="-","",506.5)</f>
        <v/>
      </c>
      <c r="E12" s="113" t="str">
        <f>IF(C12="-","",(($I$3-(D12*4)-18-60-4-9)/2))</f>
        <v/>
      </c>
      <c r="F12" s="113" t="str">
        <f>IF(C12="-","",(($I$3-(E12*4)-18-60-4-9)/2))</f>
        <v/>
      </c>
      <c r="G12" s="115" t="str">
        <f t="shared" si="0"/>
        <v/>
      </c>
      <c r="H12" s="115" t="str">
        <f>IF(C12="-","",600)</f>
        <v/>
      </c>
      <c r="I12" s="115" t="str">
        <f>IF(C12="-","",450)</f>
        <v/>
      </c>
      <c r="J12" s="114" t="str">
        <f>IF(C12="-","",I$3-18)</f>
        <v/>
      </c>
      <c r="K12" s="113" t="str">
        <f>IF(C12="-","",D12+E12+F12+2)</f>
        <v/>
      </c>
      <c r="L12" s="116" t="str">
        <f t="shared" si="1"/>
        <v/>
      </c>
    </row>
    <row r="13" spans="1:12" ht="5.25" customHeight="1" x14ac:dyDescent="0.35">
      <c r="A13" s="125"/>
      <c r="B13" s="126"/>
      <c r="C13" s="127"/>
      <c r="D13" s="127"/>
      <c r="E13" s="128"/>
      <c r="F13" s="129"/>
      <c r="G13" s="129"/>
      <c r="H13" s="53"/>
      <c r="I13" s="53"/>
      <c r="J13" s="53"/>
      <c r="K13" s="53"/>
      <c r="L13" s="54"/>
    </row>
    <row r="14" spans="1:12" ht="25" customHeight="1" x14ac:dyDescent="0.35">
      <c r="A14" s="139" t="s">
        <v>47</v>
      </c>
      <c r="B14" s="140"/>
      <c r="C14" s="139" t="s">
        <v>69</v>
      </c>
      <c r="D14" s="141"/>
      <c r="E14" s="141"/>
      <c r="F14" s="141"/>
      <c r="G14" s="141"/>
      <c r="H14" s="141"/>
      <c r="I14" s="141"/>
      <c r="J14" s="141"/>
      <c r="K14" s="141"/>
      <c r="L14" s="140"/>
    </row>
    <row r="15" spans="1:12" ht="45" customHeight="1" x14ac:dyDescent="0.35">
      <c r="A15" s="55" t="s">
        <v>41</v>
      </c>
      <c r="B15" s="56" t="s">
        <v>0</v>
      </c>
      <c r="C15" s="57" t="s">
        <v>61</v>
      </c>
      <c r="D15" s="58" t="s">
        <v>77</v>
      </c>
      <c r="E15" s="59" t="s">
        <v>79</v>
      </c>
      <c r="F15" s="59" t="s">
        <v>78</v>
      </c>
      <c r="G15" s="58" t="s">
        <v>84</v>
      </c>
      <c r="H15" s="58" t="s">
        <v>44</v>
      </c>
      <c r="I15" s="58" t="s">
        <v>82</v>
      </c>
      <c r="J15" s="58" t="s">
        <v>45</v>
      </c>
      <c r="K15" s="58" t="s">
        <v>80</v>
      </c>
      <c r="L15" s="60" t="s">
        <v>81</v>
      </c>
    </row>
    <row r="16" spans="1:12" ht="30" customHeight="1" x14ac:dyDescent="0.35">
      <c r="A16" s="61" t="s">
        <v>1</v>
      </c>
      <c r="B16" s="62" t="s">
        <v>2</v>
      </c>
      <c r="C16" s="81" t="str">
        <f>IF(I3="","-",IF(I3&lt;1730,"-",IF(I3&gt;=1730,IF(I3&lt;=2513,"F60",IF(I3&gt;2513,"-")))))</f>
        <v>-</v>
      </c>
      <c r="D16" s="82" t="str">
        <f>IF(C16="-","",306.5)</f>
        <v/>
      </c>
      <c r="E16" s="83" t="str">
        <f>IF(C16="-","",306.5)</f>
        <v/>
      </c>
      <c r="F16" s="83" t="str">
        <f>IF(C16="-","",(($I$3-(D16*4)-18-60-4-9)/2))</f>
        <v/>
      </c>
      <c r="G16" s="85" t="str">
        <f>IF(C16="-","",F16-D16)</f>
        <v/>
      </c>
      <c r="H16" s="85" t="str">
        <f>IF(C16="-","",400)</f>
        <v/>
      </c>
      <c r="I16" s="85" t="str">
        <f>IF(C16="-","",IF(G16&lt;1,250,250+G16))</f>
        <v/>
      </c>
      <c r="J16" s="84" t="str">
        <f>IF(C16="-","",I$3-18)</f>
        <v/>
      </c>
      <c r="K16" s="83" t="str">
        <f>IF(C16="-","",D16+E16+F16+2)</f>
        <v/>
      </c>
      <c r="L16" s="86" t="str">
        <f>IF(C16="-","",J16-96)</f>
        <v/>
      </c>
    </row>
    <row r="17" spans="1:12" ht="30" customHeight="1" x14ac:dyDescent="0.35">
      <c r="A17" s="63" t="s">
        <v>3</v>
      </c>
      <c r="B17" s="64" t="s">
        <v>4</v>
      </c>
      <c r="C17" s="87" t="str">
        <f>IF(I3="","-",IF(I3&lt;2030,"-",IF(I3&gt;=2030,IF(I3&lt;=2913,"F70",IF(I3&gt;2913,"-")))))</f>
        <v>-</v>
      </c>
      <c r="D17" s="88" t="str">
        <f>IF(C17="-","",356.5)</f>
        <v/>
      </c>
      <c r="E17" s="89" t="str">
        <f>IF(C17="-","",356.5)</f>
        <v/>
      </c>
      <c r="F17" s="89" t="str">
        <f>IF(C17="-","",(($I$3-(D17*4)-18-60-4-9)/2))</f>
        <v/>
      </c>
      <c r="G17" s="91" t="str">
        <f t="shared" ref="G17:G20" si="2">IF(C17="-","",F17-D17)</f>
        <v/>
      </c>
      <c r="H17" s="91" t="str">
        <f>IF(C17="-","",450)</f>
        <v/>
      </c>
      <c r="I17" s="91" t="str">
        <f>IF(C17="-","",IF(G17&lt;1,300,300+G17))</f>
        <v/>
      </c>
      <c r="J17" s="90" t="str">
        <f>IF(C17="-","",I$3-18)</f>
        <v/>
      </c>
      <c r="K17" s="89" t="str">
        <f>IF(C17="-","",D17+E17+F17+2)</f>
        <v/>
      </c>
      <c r="L17" s="92" t="str">
        <f t="shared" ref="L17:L19" si="3">IF(C17="-","",J17-96)</f>
        <v/>
      </c>
    </row>
    <row r="18" spans="1:12" ht="30" customHeight="1" x14ac:dyDescent="0.35">
      <c r="A18" s="61" t="s">
        <v>5</v>
      </c>
      <c r="B18" s="62" t="s">
        <v>8</v>
      </c>
      <c r="C18" s="81" t="str">
        <f>IF(I3="","-",IF(I3&lt;2230,"-",IF(I3&gt;=2230,IF(I3&lt;=3313,"A80",IF(I3&gt;3313,"-",)))))</f>
        <v>-</v>
      </c>
      <c r="D18" s="82" t="str">
        <f>IF(C18="-","",406.5)</f>
        <v/>
      </c>
      <c r="E18" s="83" t="str">
        <f>IF(C18="-","",406.5)</f>
        <v/>
      </c>
      <c r="F18" s="83" t="str">
        <f>IF(C18="-","",(($I$3-(D18*4)-18-60-4-9)/2))</f>
        <v/>
      </c>
      <c r="G18" s="85" t="str">
        <f t="shared" si="2"/>
        <v/>
      </c>
      <c r="H18" s="85" t="str">
        <f>IF(C18="-","",500)</f>
        <v/>
      </c>
      <c r="I18" s="85" t="str">
        <f>IF(C18="-","",IF(G18&lt;1,350,350+G18))</f>
        <v/>
      </c>
      <c r="J18" s="84" t="str">
        <f>IF(C18="-","",I$3-18)</f>
        <v/>
      </c>
      <c r="K18" s="83" t="str">
        <f>IF(C18="-","",D18+E18+F18+2)</f>
        <v/>
      </c>
      <c r="L18" s="86" t="str">
        <f t="shared" si="3"/>
        <v/>
      </c>
    </row>
    <row r="19" spans="1:12" ht="30" customHeight="1" x14ac:dyDescent="0.35">
      <c r="A19" s="63" t="s">
        <v>6</v>
      </c>
      <c r="B19" s="64" t="s">
        <v>9</v>
      </c>
      <c r="C19" s="87" t="str">
        <f>IF(I3="","-",IF(I3&lt;2430,"-",IF(I3&gt;=2430,IF(I3&lt;=3713,"B90",IF(I3&gt;3713,"-")))))</f>
        <v>-</v>
      </c>
      <c r="D19" s="88" t="str">
        <f>IF(C19="-","",456.5)</f>
        <v/>
      </c>
      <c r="E19" s="89" t="str">
        <f>IF(C19="-","",456.5)</f>
        <v/>
      </c>
      <c r="F19" s="89" t="str">
        <f>IF(C19="-","",(($I$3-(D19*4)-18-60-4-9)/2))</f>
        <v/>
      </c>
      <c r="G19" s="91" t="str">
        <f t="shared" si="2"/>
        <v/>
      </c>
      <c r="H19" s="91" t="str">
        <f>IF(C19="-","",550)</f>
        <v/>
      </c>
      <c r="I19" s="91" t="str">
        <f>IF(C19="-","",IF(G19&lt;1,400,400+G19))</f>
        <v/>
      </c>
      <c r="J19" s="90" t="str">
        <f>IF(C19="-","",I$3-18)</f>
        <v/>
      </c>
      <c r="K19" s="89" t="str">
        <f>IF(C19="-","",D19+E19+F19+2)</f>
        <v/>
      </c>
      <c r="L19" s="92" t="str">
        <f t="shared" si="3"/>
        <v/>
      </c>
    </row>
    <row r="20" spans="1:12" ht="30" customHeight="1" x14ac:dyDescent="0.35">
      <c r="A20" s="65" t="s">
        <v>7</v>
      </c>
      <c r="B20" s="124" t="s">
        <v>10</v>
      </c>
      <c r="C20" s="111" t="str">
        <f>IF(I3="","-",IF(I3&lt;2630,"-",IF(I3&gt;=2630,IF(I3&lt;=4113,"B100",IF(I3&gt;4113,"-")))))</f>
        <v>-</v>
      </c>
      <c r="D20" s="112" t="str">
        <f>IF(C20="-","",506.5)</f>
        <v/>
      </c>
      <c r="E20" s="113" t="str">
        <f>IF(C20="-","",506.5)</f>
        <v/>
      </c>
      <c r="F20" s="113" t="str">
        <f>IF(C20="-","",(($I$3-(D20*4)-18-60-4-9)/2))</f>
        <v/>
      </c>
      <c r="G20" s="115" t="str">
        <f t="shared" si="2"/>
        <v/>
      </c>
      <c r="H20" s="115" t="str">
        <f>IF(C20="-","",600)</f>
        <v/>
      </c>
      <c r="I20" s="115" t="str">
        <f>IF(C20="-","",IF(G20&lt;1,450,450+G20))</f>
        <v/>
      </c>
      <c r="J20" s="114" t="str">
        <f>IF(C20="-","",I$3-18)</f>
        <v/>
      </c>
      <c r="K20" s="113" t="str">
        <f>IF(C20="-","",D20+E20+F20+2)</f>
        <v/>
      </c>
      <c r="L20" s="116" t="str">
        <f>IF(C20="-","",J20-96)</f>
        <v/>
      </c>
    </row>
    <row r="21" spans="1:12" ht="5.25" customHeight="1" x14ac:dyDescent="0.35">
      <c r="A21" s="52"/>
      <c r="B21" s="53"/>
      <c r="C21" s="123"/>
      <c r="D21" s="123"/>
      <c r="E21" s="123"/>
      <c r="F21" s="53"/>
      <c r="G21" s="53"/>
      <c r="H21" s="53"/>
      <c r="I21" s="53"/>
      <c r="J21" s="53"/>
      <c r="K21" s="53"/>
      <c r="L21" s="54"/>
    </row>
    <row r="22" spans="1:12" ht="25" customHeight="1" x14ac:dyDescent="0.35">
      <c r="A22" s="139" t="s">
        <v>47</v>
      </c>
      <c r="B22" s="140"/>
      <c r="C22" s="139" t="s">
        <v>68</v>
      </c>
      <c r="D22" s="141"/>
      <c r="E22" s="141"/>
      <c r="F22" s="141"/>
      <c r="G22" s="141"/>
      <c r="H22" s="141"/>
      <c r="I22" s="141"/>
      <c r="J22" s="141"/>
      <c r="K22" s="141"/>
      <c r="L22" s="140"/>
    </row>
    <row r="23" spans="1:12" ht="45" customHeight="1" x14ac:dyDescent="0.35">
      <c r="A23" s="55" t="s">
        <v>41</v>
      </c>
      <c r="B23" s="56" t="s">
        <v>0</v>
      </c>
      <c r="C23" s="57" t="s">
        <v>61</v>
      </c>
      <c r="D23" s="58" t="s">
        <v>77</v>
      </c>
      <c r="E23" s="59" t="s">
        <v>79</v>
      </c>
      <c r="F23" s="59" t="s">
        <v>78</v>
      </c>
      <c r="G23" s="58" t="s">
        <v>84</v>
      </c>
      <c r="H23" s="58" t="s">
        <v>44</v>
      </c>
      <c r="I23" s="58" t="s">
        <v>82</v>
      </c>
      <c r="J23" s="58" t="s">
        <v>45</v>
      </c>
      <c r="K23" s="58" t="s">
        <v>80</v>
      </c>
      <c r="L23" s="60" t="s">
        <v>81</v>
      </c>
    </row>
    <row r="24" spans="1:12" ht="30" customHeight="1" x14ac:dyDescent="0.35">
      <c r="A24" s="61" t="s">
        <v>1</v>
      </c>
      <c r="B24" s="62" t="s">
        <v>2</v>
      </c>
      <c r="C24" s="81" t="str">
        <f>IF(I3="","-",IF(I3&lt;1730,"-",IF(I3&gt;=1730,IF(I3&lt;=2730,"F60",IF(I3&gt;2730,"-")))))</f>
        <v>-</v>
      </c>
      <c r="D24" s="82" t="str">
        <f>IF(C24="-","",306.5)</f>
        <v/>
      </c>
      <c r="E24" s="83" t="str">
        <f>IF(C24="-","",(($I$3-(D24*2)-18-60-4-9)/4))</f>
        <v/>
      </c>
      <c r="F24" s="83" t="str">
        <f>IF(C24="-","",(($I$3-(D24*2)-18-60-4-9)/4))</f>
        <v/>
      </c>
      <c r="G24" s="85" t="str">
        <f>IF(C24="-","",F24-D24)</f>
        <v/>
      </c>
      <c r="H24" s="85" t="str">
        <f>IF(C24="-","",400)</f>
        <v/>
      </c>
      <c r="I24" s="85" t="str">
        <f>IF(C24="-","",IF(G24&lt;1,250,250+G24))</f>
        <v/>
      </c>
      <c r="J24" s="84" t="str">
        <f>IF(C24="-","",I$3-18)</f>
        <v/>
      </c>
      <c r="K24" s="83" t="str">
        <f>IF(C24="-","",D24+E24+F24+2)</f>
        <v/>
      </c>
      <c r="L24" s="86" t="str">
        <f t="shared" ref="L24:L27" si="4">IF(C24="-","",IF(G24&gt;0,J24-96-(G24*2),J24-96))</f>
        <v/>
      </c>
    </row>
    <row r="25" spans="1:12" ht="30" customHeight="1" x14ac:dyDescent="0.35">
      <c r="A25" s="63" t="s">
        <v>3</v>
      </c>
      <c r="B25" s="64" t="s">
        <v>4</v>
      </c>
      <c r="C25" s="87" t="str">
        <f>IF(I3="","-",IF(I3&lt;2030,"-",IF(I3&gt;=2030,IF(I3&lt;=3030,"F70",IF(I3&gt;3030,"-")))))</f>
        <v>-</v>
      </c>
      <c r="D25" s="88" t="str">
        <f>IF(C25="-","",356.5)</f>
        <v/>
      </c>
      <c r="E25" s="89" t="str">
        <f>IF(C25="-","",(($I$3-(D25*2)-18-60-4-9)/4))</f>
        <v/>
      </c>
      <c r="F25" s="89" t="str">
        <f>IF(C25="-","",(($I$3-(D25*2)-18-60-4-9)/4))</f>
        <v/>
      </c>
      <c r="G25" s="91" t="str">
        <f t="shared" ref="G25:G28" si="5">IF(C25="-","",F25-D25)</f>
        <v/>
      </c>
      <c r="H25" s="91" t="str">
        <f>IF(C25="-","",450)</f>
        <v/>
      </c>
      <c r="I25" s="91" t="str">
        <f>IF(C25="-","",IF(G25&lt;1,300,300+G25))</f>
        <v/>
      </c>
      <c r="J25" s="90" t="str">
        <f>IF(C25="-","",I$3-18)</f>
        <v/>
      </c>
      <c r="K25" s="89" t="str">
        <f>IF(C25="-","",D25+E25+F25+2)</f>
        <v/>
      </c>
      <c r="L25" s="92" t="str">
        <f t="shared" si="4"/>
        <v/>
      </c>
    </row>
    <row r="26" spans="1:12" ht="30" customHeight="1" x14ac:dyDescent="0.35">
      <c r="A26" s="61" t="s">
        <v>5</v>
      </c>
      <c r="B26" s="62" t="s">
        <v>8</v>
      </c>
      <c r="C26" s="81" t="str">
        <f>IF(I3="","-",IF(I3&lt;2330,"-",IF(I3&gt;=2330,IF(I3&lt;=3330,"A80",IF(I3&gt;3330,"-")))))</f>
        <v>-</v>
      </c>
      <c r="D26" s="82" t="str">
        <f>IF(C26="-","",406.5)</f>
        <v/>
      </c>
      <c r="E26" s="83" t="str">
        <f>IF(C26="-","",(($I$3-(D26*2)-18-60-4-9)/4))</f>
        <v/>
      </c>
      <c r="F26" s="83" t="str">
        <f>IF(C26="-","",(($I$3-(D26*2)-18-60-4-9)/4))</f>
        <v/>
      </c>
      <c r="G26" s="85" t="str">
        <f t="shared" si="5"/>
        <v/>
      </c>
      <c r="H26" s="85" t="str">
        <f>IF(C26="-","",500)</f>
        <v/>
      </c>
      <c r="I26" s="85" t="str">
        <f>IF(C26="-","",IF(G26&lt;1,350,350+G26))</f>
        <v/>
      </c>
      <c r="J26" s="84" t="str">
        <f>IF(C26="-","",I$3-18)</f>
        <v/>
      </c>
      <c r="K26" s="83" t="str">
        <f>IF(C26="-","",D26+E26+F26+2)</f>
        <v/>
      </c>
      <c r="L26" s="86" t="str">
        <f t="shared" si="4"/>
        <v/>
      </c>
    </row>
    <row r="27" spans="1:12" ht="30" customHeight="1" x14ac:dyDescent="0.35">
      <c r="A27" s="63" t="s">
        <v>6</v>
      </c>
      <c r="B27" s="64" t="s">
        <v>9</v>
      </c>
      <c r="C27" s="87" t="str">
        <f>IF(I3="","-",IF(I3&lt;2630,"-",IF(I3&gt;=2630,IF(I3&lt;=3630,"B90",IF(I3&gt;3630,"-")))))</f>
        <v>-</v>
      </c>
      <c r="D27" s="88" t="str">
        <f>IF(C27="-","",456.5)</f>
        <v/>
      </c>
      <c r="E27" s="89" t="str">
        <f>IF(C27="-","",(($I$3-(D27*2)-18-60-4-9)/4))</f>
        <v/>
      </c>
      <c r="F27" s="89" t="str">
        <f>IF(C27="-","",(($I$3-(D27*2)-18-60-4-9)/4))</f>
        <v/>
      </c>
      <c r="G27" s="91" t="str">
        <f t="shared" si="5"/>
        <v/>
      </c>
      <c r="H27" s="91" t="str">
        <f>IF(C27="-","",550)</f>
        <v/>
      </c>
      <c r="I27" s="91" t="str">
        <f>IF(C27="-","",IF(G27&lt;1,400,400+G27))</f>
        <v/>
      </c>
      <c r="J27" s="90" t="str">
        <f>IF(C27="-","",I$3-18)</f>
        <v/>
      </c>
      <c r="K27" s="89" t="str">
        <f>IF(C27="-","",D27+E27+F27+2)</f>
        <v/>
      </c>
      <c r="L27" s="92" t="str">
        <f t="shared" si="4"/>
        <v/>
      </c>
    </row>
    <row r="28" spans="1:12" ht="30" customHeight="1" x14ac:dyDescent="0.35">
      <c r="A28" s="65" t="s">
        <v>7</v>
      </c>
      <c r="B28" s="124" t="s">
        <v>10</v>
      </c>
      <c r="C28" s="111" t="str">
        <f>IF(I3="","-",IF(I3&lt;2930,"-",IF(I3&gt;=2930,IF(I3&lt;=3930,"B100",IF(I3&gt;3930,"-")))))</f>
        <v>-</v>
      </c>
      <c r="D28" s="112" t="str">
        <f>IF(C28="-","",506.5)</f>
        <v/>
      </c>
      <c r="E28" s="113" t="str">
        <f>IF(C28="-","",(($I$3-(D28*2)-18-60-4-9)/4))</f>
        <v/>
      </c>
      <c r="F28" s="113" t="str">
        <f>IF(C28="-","",(($I$3-(D28*2)-18-60-4-9)/4))</f>
        <v/>
      </c>
      <c r="G28" s="115" t="str">
        <f t="shared" si="5"/>
        <v/>
      </c>
      <c r="H28" s="115" t="str">
        <f>IF(C28="-","",600)</f>
        <v/>
      </c>
      <c r="I28" s="115" t="str">
        <f>IF(C28="-","",IF(G28&lt;1,450,450+G28))</f>
        <v/>
      </c>
      <c r="J28" s="114" t="str">
        <f>IF(C28="-","",I$3-18)</f>
        <v/>
      </c>
      <c r="K28" s="113" t="str">
        <f>IF(C28="-","",D28+E28+F28+2)</f>
        <v/>
      </c>
      <c r="L28" s="116" t="str">
        <f>IF(C28="-","",IF(G28&gt;0,J28-96-(G28*2),J28-96))</f>
        <v/>
      </c>
    </row>
    <row r="29" spans="1:12" ht="5.25" customHeight="1" x14ac:dyDescent="0.35">
      <c r="A29" s="52"/>
      <c r="B29" s="53"/>
      <c r="C29" s="123"/>
      <c r="D29" s="123"/>
      <c r="E29" s="123"/>
      <c r="F29" s="53"/>
      <c r="G29" s="53"/>
      <c r="H29" s="53"/>
      <c r="I29" s="53"/>
      <c r="J29" s="53"/>
      <c r="K29" s="53"/>
      <c r="L29" s="54"/>
    </row>
    <row r="30" spans="1:12" ht="25" customHeight="1" x14ac:dyDescent="0.35">
      <c r="A30" s="139" t="s">
        <v>47</v>
      </c>
      <c r="B30" s="140"/>
      <c r="C30" s="139" t="s">
        <v>67</v>
      </c>
      <c r="D30" s="141"/>
      <c r="E30" s="141"/>
      <c r="F30" s="141"/>
      <c r="G30" s="141"/>
      <c r="H30" s="141"/>
      <c r="I30" s="141"/>
      <c r="J30" s="141"/>
      <c r="K30" s="141"/>
      <c r="L30" s="140"/>
    </row>
    <row r="31" spans="1:12" ht="45" customHeight="1" x14ac:dyDescent="0.35">
      <c r="A31" s="55" t="s">
        <v>41</v>
      </c>
      <c r="B31" s="56" t="s">
        <v>0</v>
      </c>
      <c r="C31" s="57" t="s">
        <v>61</v>
      </c>
      <c r="D31" s="58" t="s">
        <v>77</v>
      </c>
      <c r="E31" s="59" t="s">
        <v>79</v>
      </c>
      <c r="F31" s="59" t="s">
        <v>78</v>
      </c>
      <c r="G31" s="58" t="s">
        <v>22</v>
      </c>
      <c r="H31" s="58" t="s">
        <v>44</v>
      </c>
      <c r="I31" s="58" t="s">
        <v>82</v>
      </c>
      <c r="J31" s="58" t="s">
        <v>45</v>
      </c>
      <c r="K31" s="58" t="s">
        <v>80</v>
      </c>
      <c r="L31" s="60" t="s">
        <v>81</v>
      </c>
    </row>
    <row r="32" spans="1:12" ht="30" customHeight="1" x14ac:dyDescent="0.35">
      <c r="A32" s="61" t="s">
        <v>1</v>
      </c>
      <c r="B32" s="62" t="s">
        <v>2</v>
      </c>
      <c r="C32" s="81" t="str">
        <f>IF(I3="","-",IF(I3&lt;1830,"-",IF(I3&gt;=1830,IF(I3&lt;=2330,"F60",IF(I3&gt;2330,"-")))))</f>
        <v>-</v>
      </c>
      <c r="D32" s="82" t="str">
        <f>IF(C32="-","",306.5)</f>
        <v/>
      </c>
      <c r="E32" s="83" t="str">
        <f>IF(C32="-","",(($I$3-(D32*4)-18-60-4-9)/2))</f>
        <v/>
      </c>
      <c r="F32" s="83" t="str">
        <f>IF(C32="-","",306.5)</f>
        <v/>
      </c>
      <c r="G32" s="85" t="str">
        <f>IF(C32="-","",E32-D32)</f>
        <v/>
      </c>
      <c r="H32" s="85" t="str">
        <f>IF(C32="-","",400)</f>
        <v/>
      </c>
      <c r="I32" s="85" t="str">
        <f>IF(C32="-","",IF(G32&lt;1,250,250+G32))</f>
        <v/>
      </c>
      <c r="J32" s="84" t="str">
        <f>IF(C32="-","",I$3-18)</f>
        <v/>
      </c>
      <c r="K32" s="83" t="str">
        <f>IF(C32="-","",D32+E32+F32+2)</f>
        <v/>
      </c>
      <c r="L32" s="86" t="str">
        <f>IF(C32="-","",IF(G32&gt;=0,1816,J32-96))</f>
        <v/>
      </c>
    </row>
    <row r="33" spans="1:12" ht="30" customHeight="1" x14ac:dyDescent="0.35">
      <c r="A33" s="63" t="s">
        <v>3</v>
      </c>
      <c r="B33" s="64" t="s">
        <v>4</v>
      </c>
      <c r="C33" s="87" t="str">
        <f>IF(I3="","-",IF(I3&lt;2130,"-",IF(I3&gt;=2130,IF(I3&lt;=2630,"F70",IF(I3&gt;2630,"-")))))</f>
        <v>-</v>
      </c>
      <c r="D33" s="88" t="str">
        <f>IF(C33="-","",356.5)</f>
        <v/>
      </c>
      <c r="E33" s="89" t="str">
        <f>IF(C33="-","",(($I$3-(D33*4)-18-60-4-9)/2))</f>
        <v/>
      </c>
      <c r="F33" s="89" t="str">
        <f>IF(C33="-","",356.5)</f>
        <v/>
      </c>
      <c r="G33" s="91" t="str">
        <f t="shared" ref="G33:G36" si="6">IF(C33="-","",E33-D33)</f>
        <v/>
      </c>
      <c r="H33" s="91" t="str">
        <f>IF(C33="-","",450)</f>
        <v/>
      </c>
      <c r="I33" s="91" t="str">
        <f>IF(C33="-","",IF(G33&lt;1,300,300+G33))</f>
        <v/>
      </c>
      <c r="J33" s="90" t="str">
        <f>IF(C33="-","",I$3-18)</f>
        <v/>
      </c>
      <c r="K33" s="89" t="str">
        <f>IF(C33="-","",D33+E33+F33+2)</f>
        <v/>
      </c>
      <c r="L33" s="92" t="str">
        <f>IF(C33="-","",IF(G33&gt;=0,2116,J33-96))</f>
        <v/>
      </c>
    </row>
    <row r="34" spans="1:12" ht="30" customHeight="1" x14ac:dyDescent="0.35">
      <c r="A34" s="61" t="s">
        <v>5</v>
      </c>
      <c r="B34" s="62" t="s">
        <v>8</v>
      </c>
      <c r="C34" s="81" t="str">
        <f>IF(I3="","-",IF(I3&lt;2430,"-",IF(I3&gt;=2430,IF(I3&lt;=2930,"A80",IF(I3&gt;2930,"-")))))</f>
        <v>-</v>
      </c>
      <c r="D34" s="82" t="str">
        <f>IF(C34="-","",406.5)</f>
        <v/>
      </c>
      <c r="E34" s="83" t="str">
        <f>IF(C34="-","",(($I$3-(D34*4)-18-60-4-9)/2))</f>
        <v/>
      </c>
      <c r="F34" s="83" t="str">
        <f>IF(C34="-","",406.5)</f>
        <v/>
      </c>
      <c r="G34" s="85" t="str">
        <f t="shared" si="6"/>
        <v/>
      </c>
      <c r="H34" s="85" t="str">
        <f>IF(C34="-","",500)</f>
        <v/>
      </c>
      <c r="I34" s="85" t="str">
        <f>IF(C34="-","",IF(G34&lt;1,350,350+G34))</f>
        <v/>
      </c>
      <c r="J34" s="84" t="str">
        <f>IF(C34="-","",I$3-18)</f>
        <v/>
      </c>
      <c r="K34" s="83" t="str">
        <f>IF(C34="-","",D34+E34+F34+2)</f>
        <v/>
      </c>
      <c r="L34" s="86" t="str">
        <f>IF(C34="-","",IF(G34&gt;=0,2416,J34-96))</f>
        <v/>
      </c>
    </row>
    <row r="35" spans="1:12" ht="30" customHeight="1" x14ac:dyDescent="0.35">
      <c r="A35" s="63" t="s">
        <v>6</v>
      </c>
      <c r="B35" s="64" t="s">
        <v>9</v>
      </c>
      <c r="C35" s="87" t="str">
        <f>IF(I3="","-",IF(I3&lt;2730,"-",IF(I3&gt;=2730,IF(I3&lt;=3230,"B90",IF(I3&gt;3230,"-")))))</f>
        <v>-</v>
      </c>
      <c r="D35" s="88" t="str">
        <f>IF(C35="-","",456.5)</f>
        <v/>
      </c>
      <c r="E35" s="89" t="str">
        <f>IF(C35="-","",(($I$3-(D35*4)-18-60-4-9)/2))</f>
        <v/>
      </c>
      <c r="F35" s="89" t="str">
        <f>IF(C35="-","",456.5)</f>
        <v/>
      </c>
      <c r="G35" s="91" t="str">
        <f t="shared" si="6"/>
        <v/>
      </c>
      <c r="H35" s="91" t="str">
        <f>IF(C35="-","",550)</f>
        <v/>
      </c>
      <c r="I35" s="91" t="str">
        <f>IF(C35="-","",IF(G35&lt;1,400,400+G35))</f>
        <v/>
      </c>
      <c r="J35" s="90" t="str">
        <f>IF(C35="-","",I$3-18)</f>
        <v/>
      </c>
      <c r="K35" s="89" t="str">
        <f>IF(C35="-","",D35+E35+F35+2)</f>
        <v/>
      </c>
      <c r="L35" s="92" t="str">
        <f>IF(C35="-","",IF(G35&gt;=0,2716,J35-96))</f>
        <v/>
      </c>
    </row>
    <row r="36" spans="1:12" ht="30" customHeight="1" x14ac:dyDescent="0.35">
      <c r="A36" s="65" t="s">
        <v>7</v>
      </c>
      <c r="B36" s="62" t="s">
        <v>10</v>
      </c>
      <c r="C36" s="81" t="str">
        <f>IF(I3="","-",IF(I3&lt;3030,"-",IF(I3&gt;=3030,IF(I3&lt;=3530,"B100",IF(I3&gt;3530,"-")))))</f>
        <v>-</v>
      </c>
      <c r="D36" s="82" t="str">
        <f>IF(C36="-","",506.5)</f>
        <v/>
      </c>
      <c r="E36" s="83" t="str">
        <f>IF(C36="-","",(($I$3-(D36*4)-18-60-4-9)/2))</f>
        <v/>
      </c>
      <c r="F36" s="83" t="str">
        <f>IF(C36="-","",506.5)</f>
        <v/>
      </c>
      <c r="G36" s="85" t="str">
        <f t="shared" si="6"/>
        <v/>
      </c>
      <c r="H36" s="85" t="str">
        <f>IF(C36="-","",600)</f>
        <v/>
      </c>
      <c r="I36" s="85" t="str">
        <f>IF(C36="-","",IF(G36&lt;1,450,450+G36))</f>
        <v/>
      </c>
      <c r="J36" s="84" t="str">
        <f>IF(C36="-","",I$3-18)</f>
        <v/>
      </c>
      <c r="K36" s="83" t="str">
        <f>IF(C36="-","",D36+E36+F36+2)</f>
        <v/>
      </c>
      <c r="L36" s="86" t="str">
        <f>IF(C36="-","",IF(G36&gt;=0,3016,J36-96))</f>
        <v/>
      </c>
    </row>
    <row r="37" spans="1:12" ht="30" customHeight="1" x14ac:dyDescent="0.45">
      <c r="A37" s="66" t="s">
        <v>73</v>
      </c>
      <c r="B37" s="67"/>
      <c r="C37" s="68"/>
      <c r="D37" s="68"/>
      <c r="E37" s="69"/>
      <c r="F37" s="70"/>
      <c r="G37" s="70"/>
      <c r="H37" s="70"/>
      <c r="I37" s="70"/>
      <c r="J37" s="142" t="s">
        <v>49</v>
      </c>
      <c r="K37" s="142"/>
      <c r="L37" s="143"/>
    </row>
    <row r="38" spans="1:12" ht="30" customHeight="1" x14ac:dyDescent="0.35">
      <c r="A38" s="117" t="s">
        <v>72</v>
      </c>
      <c r="B38" s="72"/>
      <c r="C38" s="73"/>
      <c r="D38" s="73"/>
      <c r="E38" s="74"/>
      <c r="F38" s="75"/>
      <c r="G38" s="75"/>
      <c r="H38" s="75"/>
      <c r="I38" s="75"/>
      <c r="J38" s="118"/>
      <c r="K38" s="118"/>
      <c r="L38" s="107"/>
    </row>
    <row r="39" spans="1:12" ht="30" customHeight="1" x14ac:dyDescent="0.35">
      <c r="A39" s="108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1:12" ht="30" customHeight="1" x14ac:dyDescent="0.35">
      <c r="A40" s="108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12" ht="30" customHeight="1" x14ac:dyDescent="0.35">
      <c r="A41" s="108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7"/>
    </row>
    <row r="42" spans="1:12" ht="30" customHeight="1" x14ac:dyDescent="0.35">
      <c r="A42" s="108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7"/>
    </row>
    <row r="43" spans="1:12" ht="30" customHeight="1" x14ac:dyDescent="0.35">
      <c r="A43" s="10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7"/>
    </row>
    <row r="44" spans="1:12" ht="30" customHeight="1" x14ac:dyDescent="0.35">
      <c r="A44" s="108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7"/>
    </row>
    <row r="45" spans="1:12" ht="36" customHeight="1" x14ac:dyDescent="0.35">
      <c r="A45" s="136" t="s">
        <v>71</v>
      </c>
      <c r="B45" s="137"/>
      <c r="C45" s="109"/>
      <c r="D45" s="109"/>
      <c r="E45" s="109"/>
      <c r="F45" s="109"/>
      <c r="G45" s="109"/>
      <c r="H45" s="109"/>
      <c r="I45" s="109"/>
      <c r="J45" s="109"/>
      <c r="K45" s="109"/>
      <c r="L45" s="130"/>
    </row>
    <row r="46" spans="1:12" ht="32.25" customHeight="1" x14ac:dyDescent="0.35">
      <c r="A46" s="144" t="s">
        <v>24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</sheetData>
  <sheetProtection algorithmName="SHA-512" hashValue="pULelv3iAlU4LbEjdXD5Zoy28ygqiSCKPSnosVN/tMtCRYoEgNiH/p2NtSMbrg3C8RE8BXXoK1nxu9/kykGP7A==" saltValue="7PXBrofX8MfX2db/o/r6Fw==" spinCount="100000" sheet="1" objects="1" scenarios="1"/>
  <mergeCells count="11">
    <mergeCell ref="A30:B30"/>
    <mergeCell ref="C30:L30"/>
    <mergeCell ref="A45:B45"/>
    <mergeCell ref="A46:L46"/>
    <mergeCell ref="A6:B6"/>
    <mergeCell ref="C6:L6"/>
    <mergeCell ref="A14:B14"/>
    <mergeCell ref="C14:L14"/>
    <mergeCell ref="A22:B22"/>
    <mergeCell ref="C22:L22"/>
    <mergeCell ref="J37:L37"/>
  </mergeCells>
  <dataValidations count="1">
    <dataValidation allowBlank="1" showInputMessage="1" showErrorMessage="1" errorTitle="Errore valore LFM" error="Inserire un valore di Larghezza Foro Muro valido (tra 1.730 mm e 4.113 mm)" sqref="I3" xr:uid="{2CBBCD5B-0BA6-4720-A254-9E2CD403427D}"/>
  </dataValidations>
  <hyperlinks>
    <hyperlink ref="A45:B45" location="Menu!A1" display="  &lt;&lt; Torna al menu" xr:uid="{438AF258-FDA3-495A-8599-D428BA9476AB}"/>
    <hyperlink ref="A38" r:id="rId1" display="Push@go per gestione sblocco anta secondaria" xr:uid="{4DD5659F-27B3-4854-B0EA-2D2922DF642E}"/>
    <hyperlink ref="I3" location="Menu!I3" display="Menu!I3" xr:uid="{166AA89B-D697-493A-9C00-25D819C2C4D4}"/>
  </hyperlinks>
  <pageMargins left="0.31496062992125984" right="0.31496062992125984" top="0.35433070866141736" bottom="0.35433070866141736" header="0.31496062992125984" footer="0.31496062992125984"/>
  <pageSetup paperSize="9" scale="70" fitToHeight="0" orientation="landscape" r:id="rId2"/>
  <rowBreaks count="1" manualBreakCount="1">
    <brk id="28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Menu</vt:lpstr>
      <vt:lpstr>180° Single</vt:lpstr>
      <vt:lpstr>90° Single</vt:lpstr>
      <vt:lpstr>180° Double</vt:lpstr>
      <vt:lpstr>90° Double</vt:lpstr>
      <vt:lpstr>180° Single opening 3 leavs</vt:lpstr>
      <vt:lpstr>180° Double opening 3 leavs</vt:lpstr>
      <vt:lpstr>'180° Double'!Area_stampa</vt:lpstr>
      <vt:lpstr>'180° Double opening 3 leavs'!Area_stampa</vt:lpstr>
      <vt:lpstr>'180° Single'!Area_stampa</vt:lpstr>
      <vt:lpstr>'180° Single opening 3 leavs'!Area_stampa</vt:lpstr>
      <vt:lpstr>'90° Double'!Area_stampa</vt:lpstr>
      <vt:lpstr>'90° Single'!Area_stampa</vt:lpstr>
      <vt:lpstr>Menu!Area_stampa</vt:lpstr>
      <vt:lpstr>'180° Double opening 3 leavs'!Titoli_stampa</vt:lpstr>
      <vt:lpstr>'180° Single opening 3 leavs'!Titoli_stampa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Patrizio Lamon</dc:creator>
  <cp:lastModifiedBy>Patrizio Lamon</cp:lastModifiedBy>
  <cp:lastPrinted>2021-08-02T12:19:47Z</cp:lastPrinted>
  <dcterms:created xsi:type="dcterms:W3CDTF">2019-11-27T17:17:31Z</dcterms:created>
  <dcterms:modified xsi:type="dcterms:W3CDTF">2022-06-23T13:34:15Z</dcterms:modified>
</cp:coreProperties>
</file>